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126"/>
  <workbookPr codeName="Denne_projektmappe"/>
  <mc:AlternateContent xmlns:mc="http://schemas.openxmlformats.org/markup-compatibility/2006">
    <mc:Choice Requires="x15">
      <x15ac:absPath xmlns:x15ac="http://schemas.microsoft.com/office/spreadsheetml/2010/11/ac" url="https://strategirummetdk-my.sharepoint.com/personal/fn_strategirummet_com/Documents/Documents/Strategirummet/E2G/Tekster til E2G-platform/Scenarier 1. semester/"/>
    </mc:Choice>
  </mc:AlternateContent>
  <xr:revisionPtr revIDLastSave="23" documentId="13_ncr:1_{4C97FE57-3B24-47A1-BCF7-90A9BC16AB90}" xr6:coauthVersionLast="47" xr6:coauthVersionMax="47" xr10:uidLastSave="{2A2A9693-60DF-429B-B1F2-0918D82A18DE}"/>
  <bookViews>
    <workbookView xWindow="-110" yWindow="-110" windowWidth="19420" windowHeight="10300" firstSheet="5" activeTab="7" xr2:uid="{00000000-000D-0000-FFFF-FFFF00000000}"/>
  </bookViews>
  <sheets>
    <sheet name="BL OECD total 2050" sheetId="149" state="hidden" r:id="rId1"/>
    <sheet name="BL OECD total 2030" sheetId="148" state="hidden" r:id="rId2"/>
    <sheet name="BL World 2030" sheetId="89" r:id="rId3"/>
    <sheet name="BL World 2050" sheetId="90" r:id="rId4"/>
    <sheet name="Introduction" sheetId="145" r:id="rId5"/>
    <sheet name="Goals and Energy Consumption" sheetId="146" r:id="rId6"/>
    <sheet name="KF World" sheetId="144" r:id="rId7"/>
    <sheet name="KF World - Temperature" sheetId="150" r:id="rId8"/>
    <sheet name="World 1995" sheetId="143" state="hidden" r:id="rId9"/>
    <sheet name="World 2000" sheetId="142" state="hidden" r:id="rId10"/>
    <sheet name="World 2005" sheetId="141" state="hidden" r:id="rId11"/>
    <sheet name="World 2010" sheetId="140" state="hidden" r:id="rId12"/>
    <sheet name="World 2015" sheetId="139" state="hidden" r:id="rId13"/>
    <sheet name="World 2018" sheetId="27" state="hidden" r:id="rId14"/>
    <sheet name="BL Non OECD total 2050" sheetId="138" state="hidden" r:id="rId15"/>
    <sheet name="BL Non OECD total 2030" sheetId="137" state="hidden" r:id="rId16"/>
    <sheet name="KF Non-OECD total" sheetId="136" r:id="rId17"/>
    <sheet name="Non OECD total 1995" sheetId="135" state="hidden" r:id="rId18"/>
    <sheet name="Non OECD total 2000" sheetId="134" state="hidden" r:id="rId19"/>
    <sheet name="Non OECD total 2005" sheetId="133" state="hidden" r:id="rId20"/>
    <sheet name="Non OECD total 2010" sheetId="132" state="hidden" r:id="rId21"/>
    <sheet name="Non OECD total 2015" sheetId="131" state="hidden" r:id="rId22"/>
    <sheet name="Non OECD total 2018" sheetId="45" state="hidden" r:id="rId23"/>
    <sheet name="BL Middle East 2050" sheetId="128" state="hidden" r:id="rId24"/>
    <sheet name="BL Middle East 2030" sheetId="129" state="hidden" r:id="rId25"/>
    <sheet name=" KF OECD total" sheetId="88" r:id="rId26"/>
    <sheet name="KF OECD+Non-OECD - Temperature" sheetId="151" r:id="rId27"/>
    <sheet name=" KF Middle East" sheetId="130" r:id="rId28"/>
    <sheet name="Middle East 1995" sheetId="126" state="hidden" r:id="rId29"/>
    <sheet name="Middle East 2000" sheetId="125" state="hidden" r:id="rId30"/>
    <sheet name="Middle East 2005" sheetId="124" state="hidden" r:id="rId31"/>
    <sheet name="Middle East 2010" sheetId="123" state="hidden" r:id="rId32"/>
    <sheet name="Middle East 2015" sheetId="127" state="hidden" r:id="rId33"/>
    <sheet name="Middle East 2018" sheetId="46" state="hidden" r:id="rId34"/>
    <sheet name="BL Africa 2050" sheetId="122" state="hidden" r:id="rId35"/>
    <sheet name="BL Africa 2030" sheetId="121" state="hidden" r:id="rId36"/>
    <sheet name=" KF Africa" sheetId="120" r:id="rId37"/>
    <sheet name="Africa 1995" sheetId="119" state="hidden" r:id="rId38"/>
    <sheet name="Africa 2000" sheetId="118" state="hidden" r:id="rId39"/>
    <sheet name="Africa 2005" sheetId="117" state="hidden" r:id="rId40"/>
    <sheet name="Africa 2010" sheetId="116" state="hidden" r:id="rId41"/>
    <sheet name="Africa 2015" sheetId="115" state="hidden" r:id="rId42"/>
    <sheet name="Africa 2018" sheetId="44" state="hidden" r:id="rId43"/>
    <sheet name="BL China 2050" sheetId="114" state="hidden" r:id="rId44"/>
    <sheet name="BL China 2030" sheetId="113" state="hidden" r:id="rId45"/>
    <sheet name=" KF China" sheetId="112" r:id="rId46"/>
    <sheet name="China 1995" sheetId="111" state="hidden" r:id="rId47"/>
    <sheet name="China 2000" sheetId="110" state="hidden" r:id="rId48"/>
    <sheet name="China 2005" sheetId="109" state="hidden" r:id="rId49"/>
    <sheet name="China 2010" sheetId="108" state="hidden" r:id="rId50"/>
    <sheet name="China 2015" sheetId="107" state="hidden" r:id="rId51"/>
    <sheet name="China 2018" sheetId="42" state="hidden" r:id="rId52"/>
    <sheet name="BL Asia excluding China 2050" sheetId="106" state="hidden" r:id="rId53"/>
    <sheet name="BL Asia excluding China 2030" sheetId="105" state="hidden" r:id="rId54"/>
    <sheet name=" KF Asia excluding China" sheetId="104" r:id="rId55"/>
    <sheet name="Asia excluding China 1995" sheetId="103" state="hidden" r:id="rId56"/>
    <sheet name="Asia excluding China 2000" sheetId="102" state="hidden" r:id="rId57"/>
    <sheet name="Asia excluding China 2005" sheetId="101" state="hidden" r:id="rId58"/>
    <sheet name="Asia excluding China 2010" sheetId="100" state="hidden" r:id="rId59"/>
    <sheet name="Asia excluding China 2015" sheetId="99" state="hidden" r:id="rId60"/>
    <sheet name="Asia excluding China 2018" sheetId="43" state="hidden" r:id="rId61"/>
    <sheet name="BL Non-OECD Americas 2050" sheetId="91" state="hidden" r:id="rId62"/>
    <sheet name="BL Non-OECD Americas 2030" sheetId="92" state="hidden" r:id="rId63"/>
    <sheet name="Non-OECD Americas 1995" sheetId="98" state="hidden" r:id="rId64"/>
    <sheet name="Non-OECD Americas 2000" sheetId="97" state="hidden" r:id="rId65"/>
    <sheet name="Non-OECD Americas 2005" sheetId="96" state="hidden" r:id="rId66"/>
    <sheet name="Non-OECD Americas 2010" sheetId="95" state="hidden" r:id="rId67"/>
    <sheet name="Non-OECD Americas 2015" sheetId="94" state="hidden" r:id="rId68"/>
    <sheet name="Non-OECD Americas 2018" sheetId="37" state="hidden" r:id="rId69"/>
    <sheet name="BL Non-OECD Europe Eurasia 2050" sheetId="80" state="hidden" r:id="rId70"/>
    <sheet name="BL Non-OECD Europe Aurasia 2030" sheetId="81" state="hidden" r:id="rId71"/>
    <sheet name=" KF Non-OECD Americas" sheetId="93" r:id="rId72"/>
    <sheet name=" KF Non-OECD Europe Eurasia " sheetId="82" r:id="rId73"/>
    <sheet name="Non-OECD Europe Eurasia 1995" sheetId="79" state="hidden" r:id="rId74"/>
    <sheet name="Non-OECD Europe Eurasia 2000" sheetId="78" state="hidden" r:id="rId75"/>
    <sheet name="Non-OECD Europe Eurasia 2005" sheetId="77" state="hidden" r:id="rId76"/>
    <sheet name="Non-OECD Europe Eurasia 2010" sheetId="76" state="hidden" r:id="rId77"/>
    <sheet name="Non-OECD Europe Eurasia 2015" sheetId="75" state="hidden" r:id="rId78"/>
    <sheet name="Non-OECD Europe Eurasia 2018" sheetId="38" state="hidden" r:id="rId79"/>
    <sheet name="OECD total 1995" sheetId="87" state="hidden" r:id="rId80"/>
    <sheet name="OECD total 2000" sheetId="86" state="hidden" r:id="rId81"/>
    <sheet name="OECD total 2005" sheetId="85" state="hidden" r:id="rId82"/>
    <sheet name="OECD total 2010" sheetId="84" state="hidden" r:id="rId83"/>
    <sheet name="OECD total 2015" sheetId="83" state="hidden" r:id="rId84"/>
    <sheet name="OECD total 2018" sheetId="36" state="hidden" r:id="rId85"/>
    <sheet name="BL OECD Europe 2050" sheetId="70" state="hidden" r:id="rId86"/>
    <sheet name="BL OECD Europe 2030" sheetId="68" state="hidden" r:id="rId87"/>
    <sheet name=" KF OECD Europe" sheetId="67" r:id="rId88"/>
    <sheet name="OECD Europe 1995" sheetId="66" state="hidden" r:id="rId89"/>
    <sheet name="OECD Europe 2000" sheetId="65" state="hidden" r:id="rId90"/>
    <sheet name="OECD Europe 2005" sheetId="64" state="hidden" r:id="rId91"/>
    <sheet name="OECD Europe 2010" sheetId="63" state="hidden" r:id="rId92"/>
    <sheet name="OECD Europe 2015" sheetId="62" state="hidden" r:id="rId93"/>
    <sheet name="OECD Europe 2018" sheetId="39" state="hidden" r:id="rId94"/>
    <sheet name="BL OECD Asia Oceania 2030" sheetId="72" state="hidden" r:id="rId95"/>
    <sheet name="BL OECD Asia Oceania 2050" sheetId="71" state="hidden" r:id="rId96"/>
    <sheet name=" KF OECD Asia Oceania" sheetId="59" r:id="rId97"/>
    <sheet name="OECD Asia Oceania 1995" sheetId="58" state="hidden" r:id="rId98"/>
    <sheet name="OECD Asia Oceania 2000" sheetId="57" state="hidden" r:id="rId99"/>
    <sheet name="OECD Asia Oceania 2005" sheetId="56" state="hidden" r:id="rId100"/>
    <sheet name="OECD Asia Oceania 2010" sheetId="55" state="hidden" r:id="rId101"/>
    <sheet name="OECD Asia Oceania 2015" sheetId="54" state="hidden" r:id="rId102"/>
    <sheet name="OECD Asia Oceania 2018" sheetId="40" state="hidden" r:id="rId103"/>
    <sheet name="BL OECD Americas 2030" sheetId="73" state="hidden" r:id="rId104"/>
    <sheet name="BL OECD Americas 2050" sheetId="74" state="hidden" r:id="rId105"/>
    <sheet name=" KF OECD Americas" sheetId="52" r:id="rId106"/>
    <sheet name="World by Continent -Temperature" sheetId="152" r:id="rId107"/>
    <sheet name="OECD Americas 1995" sheetId="51" state="hidden" r:id="rId108"/>
    <sheet name="OECD Americas 2000" sheetId="50" state="hidden" r:id="rId109"/>
    <sheet name="OECD Americas 2005" sheetId="49" state="hidden" r:id="rId110"/>
    <sheet name="OECD Americas 2010" sheetId="48" state="hidden" r:id="rId111"/>
    <sheet name="OECD Americas 2015" sheetId="47" state="hidden" r:id="rId112"/>
    <sheet name="OECD Americas 2018" sheetId="41" state="hidden" r:id="rId113"/>
    <sheet name="Meta data" sheetId="34" state="hidden" r:id="rId114"/>
    <sheet name="Emissionsfaktorer" sheetId="33" state="hidden" r:id="rId115"/>
    <sheet name="Størrelse på strømme" sheetId="35" state="hidden" r:id="rId116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28" i="144" l="1"/>
  <c r="H4" i="144"/>
  <c r="B57" i="152"/>
  <c r="C57" i="152" s="1"/>
  <c r="D57" i="152" s="1"/>
  <c r="B53" i="151"/>
  <c r="B57" i="151" s="1"/>
  <c r="C57" i="151" s="1"/>
  <c r="D57" i="151" s="1"/>
  <c r="B53" i="152"/>
  <c r="C56" i="152"/>
  <c r="C56" i="151"/>
  <c r="B56" i="150"/>
  <c r="B52" i="150"/>
  <c r="B55" i="150"/>
  <c r="I99" i="52" l="1"/>
  <c r="H99" i="52"/>
  <c r="I99" i="59"/>
  <c r="H99" i="59"/>
  <c r="I99" i="67"/>
  <c r="H99" i="67"/>
  <c r="I99" i="82"/>
  <c r="H99" i="82"/>
  <c r="I99" i="93"/>
  <c r="H99" i="93"/>
  <c r="I99" i="104"/>
  <c r="H99" i="104"/>
  <c r="I99" i="112"/>
  <c r="H99" i="112"/>
  <c r="I99" i="120"/>
  <c r="H99" i="120"/>
  <c r="I99" i="130"/>
  <c r="H99" i="130"/>
  <c r="I99" i="88"/>
  <c r="H99" i="88"/>
  <c r="I99" i="136"/>
  <c r="H99" i="136"/>
  <c r="I98" i="144"/>
  <c r="H98" i="144"/>
  <c r="H18" i="88"/>
  <c r="I18" i="88"/>
  <c r="H25" i="88"/>
  <c r="BP43" i="152"/>
  <c r="BA8" i="152" s="1"/>
  <c r="BN40" i="152"/>
  <c r="BO40" i="152"/>
  <c r="BP40" i="152"/>
  <c r="BQ40" i="152"/>
  <c r="BQ41" i="152" s="1"/>
  <c r="BM40" i="152"/>
  <c r="BH43" i="152"/>
  <c r="AT8" i="152" s="1"/>
  <c r="BH42" i="152"/>
  <c r="BG40" i="152"/>
  <c r="BH40" i="152"/>
  <c r="BI40" i="152"/>
  <c r="BI41" i="152" s="1"/>
  <c r="BJ40" i="152"/>
  <c r="BJ41" i="152" s="1"/>
  <c r="BF40" i="152"/>
  <c r="BA43" i="152"/>
  <c r="AN8" i="152" s="1"/>
  <c r="BA42" i="152"/>
  <c r="AZ40" i="152"/>
  <c r="AZ41" i="152" s="1"/>
  <c r="BA40" i="152"/>
  <c r="BB40" i="152"/>
  <c r="BC40" i="152"/>
  <c r="BC41" i="152" s="1"/>
  <c r="AY40" i="152"/>
  <c r="AT43" i="152"/>
  <c r="AH8" i="152" s="1"/>
  <c r="AS42" i="152"/>
  <c r="AS43" i="152" s="1"/>
  <c r="AG8" i="152" s="1"/>
  <c r="AT42" i="152"/>
  <c r="AR42" i="152"/>
  <c r="AR43" i="152" s="1"/>
  <c r="AF8" i="152" s="1"/>
  <c r="AS40" i="152"/>
  <c r="AS41" i="152" s="1"/>
  <c r="AT40" i="152"/>
  <c r="AU40" i="152"/>
  <c r="AU41" i="152" s="1"/>
  <c r="AV40" i="152"/>
  <c r="AV41" i="152" s="1"/>
  <c r="AR40" i="152"/>
  <c r="AM43" i="152"/>
  <c r="AB8" i="152" s="1"/>
  <c r="AM42" i="152"/>
  <c r="AL40" i="152"/>
  <c r="AM40" i="152"/>
  <c r="AN40" i="152"/>
  <c r="AN41" i="152" s="1"/>
  <c r="AO40" i="152"/>
  <c r="AO41" i="152" s="1"/>
  <c r="AK40" i="152"/>
  <c r="AF43" i="152"/>
  <c r="V8" i="152" s="1"/>
  <c r="AF42" i="152"/>
  <c r="AD42" i="152"/>
  <c r="AD43" i="152" s="1"/>
  <c r="T8" i="152" s="1"/>
  <c r="AE40" i="152"/>
  <c r="AF40" i="152"/>
  <c r="AG40" i="152"/>
  <c r="AG41" i="152" s="1"/>
  <c r="AH40" i="152"/>
  <c r="AH41" i="152" s="1"/>
  <c r="AD40" i="152"/>
  <c r="W42" i="152"/>
  <c r="W43" i="152" s="1"/>
  <c r="N8" i="152" s="1"/>
  <c r="W41" i="152"/>
  <c r="X40" i="152"/>
  <c r="Y40" i="152"/>
  <c r="Y41" i="152" s="1"/>
  <c r="Y42" i="152" s="1"/>
  <c r="Y43" i="152" s="1"/>
  <c r="P8" i="152" s="1"/>
  <c r="Z40" i="152"/>
  <c r="Z41" i="152" s="1"/>
  <c r="AA40" i="152"/>
  <c r="AA41" i="152" s="1"/>
  <c r="W40" i="152"/>
  <c r="BP41" i="152"/>
  <c r="BO41" i="152"/>
  <c r="BO42" i="152" s="1"/>
  <c r="BO43" i="152" s="1"/>
  <c r="AZ8" i="152" s="1"/>
  <c r="BN41" i="152"/>
  <c r="BH41" i="152"/>
  <c r="BG41" i="152"/>
  <c r="BG42" i="152" s="1"/>
  <c r="BG43" i="152" s="1"/>
  <c r="AS8" i="152" s="1"/>
  <c r="BA41" i="152"/>
  <c r="BB41" i="152"/>
  <c r="AT41" i="152"/>
  <c r="AR41" i="152"/>
  <c r="AM41" i="152"/>
  <c r="AF41" i="152"/>
  <c r="AE41" i="152"/>
  <c r="AD41" i="152"/>
  <c r="M40" i="152"/>
  <c r="L40" i="152"/>
  <c r="K40" i="152"/>
  <c r="K41" i="152" s="1"/>
  <c r="J40" i="152"/>
  <c r="I40" i="152"/>
  <c r="I41" i="152" s="1"/>
  <c r="E11" i="151"/>
  <c r="S42" i="151" s="1"/>
  <c r="S43" i="151" s="1"/>
  <c r="E15" i="151" s="1"/>
  <c r="K4" i="152"/>
  <c r="R4" i="152"/>
  <c r="AA42" i="152" s="1"/>
  <c r="AA43" i="152" s="1"/>
  <c r="R8" i="152" s="1"/>
  <c r="X4" i="152"/>
  <c r="W4" i="152"/>
  <c r="AG42" i="152" s="1"/>
  <c r="AG43" i="152" s="1"/>
  <c r="W8" i="152" s="1"/>
  <c r="AD4" i="152"/>
  <c r="AI4" i="152"/>
  <c r="AU42" i="152" s="1"/>
  <c r="AU43" i="152" s="1"/>
  <c r="AI8" i="152" s="1"/>
  <c r="AP4" i="152"/>
  <c r="AU4" i="152"/>
  <c r="BB4" i="152"/>
  <c r="AY4" i="152"/>
  <c r="AZ4" i="152"/>
  <c r="BA4" i="152" s="1"/>
  <c r="BP42" i="152" s="1"/>
  <c r="AX4" i="152"/>
  <c r="AS4" i="152"/>
  <c r="AT4" i="152"/>
  <c r="AV4" i="152" s="1"/>
  <c r="AR4" i="152"/>
  <c r="AM4" i="152"/>
  <c r="AZ42" i="152" s="1"/>
  <c r="AZ43" i="152" s="1"/>
  <c r="AM8" i="152" s="1"/>
  <c r="AN4" i="152"/>
  <c r="AO4" i="152" s="1"/>
  <c r="BB42" i="152" s="1"/>
  <c r="BB43" i="152" s="1"/>
  <c r="AO8" i="152" s="1"/>
  <c r="AL4" i="152"/>
  <c r="AG4" i="152"/>
  <c r="AH4" i="152"/>
  <c r="AJ4" i="152" s="1"/>
  <c r="AF4" i="152"/>
  <c r="AA4" i="152"/>
  <c r="AB4" i="152"/>
  <c r="AC4" i="152" s="1"/>
  <c r="AN42" i="152" s="1"/>
  <c r="AN43" i="152" s="1"/>
  <c r="AC8" i="152" s="1"/>
  <c r="Z4" i="152"/>
  <c r="P4" i="152"/>
  <c r="Q4" i="152" s="1"/>
  <c r="O4" i="152"/>
  <c r="N4" i="152"/>
  <c r="U4" i="152"/>
  <c r="AE42" i="152" s="1"/>
  <c r="AE43" i="152" s="1"/>
  <c r="U8" i="152" s="1"/>
  <c r="V4" i="152"/>
  <c r="T4" i="152"/>
  <c r="I4" i="152"/>
  <c r="J4" i="152"/>
  <c r="L4" i="152" s="1"/>
  <c r="H4" i="152"/>
  <c r="B11" i="151"/>
  <c r="P42" i="151" s="1"/>
  <c r="C4" i="152"/>
  <c r="D4" i="152"/>
  <c r="B4" i="152"/>
  <c r="G61" i="152"/>
  <c r="F61" i="152"/>
  <c r="E61" i="152"/>
  <c r="D61" i="152"/>
  <c r="C61" i="152"/>
  <c r="B61" i="152"/>
  <c r="G60" i="152"/>
  <c r="M41" i="152"/>
  <c r="J41" i="152"/>
  <c r="T40" i="152"/>
  <c r="T41" i="152" s="1"/>
  <c r="S40" i="152"/>
  <c r="S41" i="152" s="1"/>
  <c r="R40" i="152"/>
  <c r="R41" i="152" s="1"/>
  <c r="Q40" i="152"/>
  <c r="Q41" i="152" s="1"/>
  <c r="P40" i="152"/>
  <c r="L41" i="152"/>
  <c r="Q40" i="151"/>
  <c r="Q41" i="151" s="1"/>
  <c r="R40" i="151"/>
  <c r="R41" i="151" s="1"/>
  <c r="S40" i="151"/>
  <c r="S41" i="151" s="1"/>
  <c r="T40" i="151"/>
  <c r="T41" i="151" s="1"/>
  <c r="P40" i="151"/>
  <c r="J40" i="151"/>
  <c r="K40" i="151"/>
  <c r="L40" i="151"/>
  <c r="L41" i="151" s="1"/>
  <c r="M40" i="151"/>
  <c r="M41" i="151" s="1"/>
  <c r="I40" i="151"/>
  <c r="I41" i="151" s="1"/>
  <c r="P41" i="151"/>
  <c r="K41" i="151"/>
  <c r="C11" i="151"/>
  <c r="Q42" i="151" s="1"/>
  <c r="Q43" i="151" s="1"/>
  <c r="C15" i="151" s="1"/>
  <c r="D11" i="151"/>
  <c r="R42" i="151" s="1"/>
  <c r="R43" i="151" s="1"/>
  <c r="D15" i="151" s="1"/>
  <c r="B4" i="151"/>
  <c r="G61" i="151"/>
  <c r="F61" i="151"/>
  <c r="E61" i="151"/>
  <c r="D61" i="151"/>
  <c r="C61" i="151"/>
  <c r="B61" i="151"/>
  <c r="G60" i="151"/>
  <c r="G60" i="150"/>
  <c r="F60" i="150"/>
  <c r="E60" i="150"/>
  <c r="D60" i="150"/>
  <c r="C60" i="150"/>
  <c r="B60" i="150"/>
  <c r="G59" i="150"/>
  <c r="F39" i="150"/>
  <c r="F40" i="150" s="1"/>
  <c r="E39" i="150"/>
  <c r="D39" i="150"/>
  <c r="D40" i="150" s="1"/>
  <c r="C39" i="150"/>
  <c r="C40" i="150" s="1"/>
  <c r="B39" i="150"/>
  <c r="B40" i="150" s="1"/>
  <c r="B41" i="150" s="1"/>
  <c r="B42" i="150" s="1"/>
  <c r="B4" i="150"/>
  <c r="G106" i="52"/>
  <c r="F106" i="52"/>
  <c r="E106" i="52"/>
  <c r="D106" i="52"/>
  <c r="C106" i="52"/>
  <c r="B106" i="52"/>
  <c r="G106" i="59"/>
  <c r="F106" i="59"/>
  <c r="E106" i="59"/>
  <c r="D106" i="59"/>
  <c r="C106" i="59"/>
  <c r="B106" i="59"/>
  <c r="G106" i="67"/>
  <c r="F106" i="67"/>
  <c r="E106" i="67"/>
  <c r="D106" i="67"/>
  <c r="C106" i="67"/>
  <c r="B106" i="67"/>
  <c r="G106" i="82"/>
  <c r="F106" i="82"/>
  <c r="E106" i="82"/>
  <c r="D106" i="82"/>
  <c r="C106" i="82"/>
  <c r="B106" i="82"/>
  <c r="G106" i="93"/>
  <c r="F106" i="93"/>
  <c r="E106" i="93"/>
  <c r="D106" i="93"/>
  <c r="C106" i="93"/>
  <c r="B106" i="93"/>
  <c r="G106" i="104"/>
  <c r="F106" i="104"/>
  <c r="E106" i="104"/>
  <c r="D106" i="104"/>
  <c r="C106" i="104"/>
  <c r="B106" i="104"/>
  <c r="G106" i="112"/>
  <c r="F106" i="112"/>
  <c r="E106" i="112"/>
  <c r="D106" i="112"/>
  <c r="C106" i="112"/>
  <c r="B106" i="112"/>
  <c r="G106" i="120"/>
  <c r="F106" i="120"/>
  <c r="E106" i="120"/>
  <c r="D106" i="120"/>
  <c r="C106" i="120"/>
  <c r="B106" i="120"/>
  <c r="G106" i="130"/>
  <c r="F106" i="130"/>
  <c r="E106" i="130"/>
  <c r="D106" i="130"/>
  <c r="C106" i="130"/>
  <c r="B106" i="130"/>
  <c r="G106" i="88"/>
  <c r="F106" i="88"/>
  <c r="E106" i="88"/>
  <c r="D106" i="88"/>
  <c r="C106" i="88"/>
  <c r="B106" i="88"/>
  <c r="G106" i="136"/>
  <c r="F106" i="136"/>
  <c r="E106" i="136"/>
  <c r="D106" i="136"/>
  <c r="C106" i="136"/>
  <c r="B106" i="136"/>
  <c r="G105" i="144"/>
  <c r="F105" i="144"/>
  <c r="E105" i="144"/>
  <c r="D105" i="144"/>
  <c r="C105" i="144"/>
  <c r="B105" i="144"/>
  <c r="BJ42" i="152" l="1"/>
  <c r="BJ43" i="152" s="1"/>
  <c r="AV8" i="152" s="1"/>
  <c r="Z42" i="152"/>
  <c r="Z43" i="152" s="1"/>
  <c r="Q8" i="152" s="1"/>
  <c r="BQ42" i="152"/>
  <c r="BQ43" i="152" s="1"/>
  <c r="BB8" i="152" s="1"/>
  <c r="AO42" i="152"/>
  <c r="AO43" i="152" s="1"/>
  <c r="AD8" i="152" s="1"/>
  <c r="F4" i="152"/>
  <c r="M42" i="152" s="1"/>
  <c r="K42" i="152"/>
  <c r="K43" i="152" s="1"/>
  <c r="AV42" i="152"/>
  <c r="AV43" i="152" s="1"/>
  <c r="AJ8" i="152" s="1"/>
  <c r="BM42" i="152"/>
  <c r="BM43" i="152" s="1"/>
  <c r="AX8" i="152" s="1"/>
  <c r="BI42" i="152"/>
  <c r="BI43" i="152" s="1"/>
  <c r="AU8" i="152" s="1"/>
  <c r="E4" i="152"/>
  <c r="R42" i="152"/>
  <c r="R43" i="152" s="1"/>
  <c r="J8" i="152" s="1"/>
  <c r="BC42" i="152"/>
  <c r="BC43" i="152" s="1"/>
  <c r="AP8" i="152" s="1"/>
  <c r="AH42" i="152"/>
  <c r="AH43" i="152" s="1"/>
  <c r="X8" i="152" s="1"/>
  <c r="BN42" i="152"/>
  <c r="BN43" i="152" s="1"/>
  <c r="AY8" i="152" s="1"/>
  <c r="T42" i="152"/>
  <c r="T43" i="152" s="1"/>
  <c r="L8" i="152" s="1"/>
  <c r="I42" i="151"/>
  <c r="I43" i="151" s="1"/>
  <c r="B8" i="151" s="1"/>
  <c r="F11" i="151"/>
  <c r="T42" i="151" s="1"/>
  <c r="T43" i="151" s="1"/>
  <c r="F15" i="151" s="1"/>
  <c r="AY41" i="152"/>
  <c r="AY42" i="152" s="1"/>
  <c r="AY43" i="152" s="1"/>
  <c r="AL8" i="152" s="1"/>
  <c r="BM41" i="152"/>
  <c r="BF41" i="152"/>
  <c r="BF42" i="152" s="1"/>
  <c r="BF43" i="152" s="1"/>
  <c r="AR8" i="152" s="1"/>
  <c r="AK41" i="152"/>
  <c r="AK42" i="152" s="1"/>
  <c r="AK43" i="152" s="1"/>
  <c r="Z8" i="152" s="1"/>
  <c r="AL41" i="152"/>
  <c r="AL42" i="152" s="1"/>
  <c r="AL43" i="152" s="1"/>
  <c r="AA8" i="152" s="1"/>
  <c r="X41" i="152"/>
  <c r="X42" i="152" s="1"/>
  <c r="X43" i="152" s="1"/>
  <c r="O8" i="152" s="1"/>
  <c r="P43" i="151"/>
  <c r="B42" i="151"/>
  <c r="J42" i="152"/>
  <c r="J43" i="152" s="1"/>
  <c r="P41" i="152"/>
  <c r="P42" i="152" s="1"/>
  <c r="P43" i="152" s="1"/>
  <c r="H8" i="152" s="1"/>
  <c r="I42" i="152"/>
  <c r="I43" i="152" s="1"/>
  <c r="M43" i="152"/>
  <c r="L42" i="152"/>
  <c r="Q42" i="152"/>
  <c r="Q43" i="152" s="1"/>
  <c r="I8" i="152" s="1"/>
  <c r="S42" i="152"/>
  <c r="S43" i="152" s="1"/>
  <c r="K8" i="152" s="1"/>
  <c r="J41" i="151"/>
  <c r="B8" i="150"/>
  <c r="B45" i="150"/>
  <c r="E40" i="150"/>
  <c r="G62" i="82"/>
  <c r="F62" i="82"/>
  <c r="E62" i="82"/>
  <c r="D62" i="82"/>
  <c r="C62" i="82"/>
  <c r="B62" i="82"/>
  <c r="G61" i="82"/>
  <c r="F61" i="82"/>
  <c r="E61" i="82"/>
  <c r="D61" i="82"/>
  <c r="C61" i="82"/>
  <c r="B61" i="82"/>
  <c r="G60" i="82"/>
  <c r="F60" i="82"/>
  <c r="E60" i="82"/>
  <c r="D60" i="82"/>
  <c r="C60" i="82"/>
  <c r="B60" i="82"/>
  <c r="G59" i="82"/>
  <c r="F59" i="82"/>
  <c r="E59" i="82"/>
  <c r="D59" i="82"/>
  <c r="C59" i="82"/>
  <c r="B59" i="82"/>
  <c r="G58" i="82"/>
  <c r="F58" i="82"/>
  <c r="E58" i="82"/>
  <c r="D58" i="82"/>
  <c r="C58" i="82"/>
  <c r="B58" i="82"/>
  <c r="G57" i="82"/>
  <c r="F57" i="82"/>
  <c r="E57" i="82"/>
  <c r="D57" i="82"/>
  <c r="C57" i="82"/>
  <c r="B57" i="82"/>
  <c r="G56" i="82"/>
  <c r="F56" i="82"/>
  <c r="E56" i="82"/>
  <c r="D56" i="82"/>
  <c r="C56" i="82"/>
  <c r="B56" i="82"/>
  <c r="B53" i="82"/>
  <c r="G62" i="93"/>
  <c r="F62" i="93"/>
  <c r="E62" i="93"/>
  <c r="D62" i="93"/>
  <c r="C62" i="93"/>
  <c r="B62" i="93"/>
  <c r="G61" i="93"/>
  <c r="F61" i="93"/>
  <c r="E61" i="93"/>
  <c r="D61" i="93"/>
  <c r="C61" i="93"/>
  <c r="B61" i="93"/>
  <c r="G60" i="93"/>
  <c r="F60" i="93"/>
  <c r="E60" i="93"/>
  <c r="D60" i="93"/>
  <c r="C60" i="93"/>
  <c r="B60" i="93"/>
  <c r="G59" i="93"/>
  <c r="F59" i="93"/>
  <c r="E59" i="93"/>
  <c r="D59" i="93"/>
  <c r="C59" i="93"/>
  <c r="B59" i="93"/>
  <c r="G58" i="93"/>
  <c r="F58" i="93"/>
  <c r="E58" i="93"/>
  <c r="D58" i="93"/>
  <c r="C58" i="93"/>
  <c r="B58" i="93"/>
  <c r="G57" i="93"/>
  <c r="F57" i="93"/>
  <c r="E57" i="93"/>
  <c r="D57" i="93"/>
  <c r="C57" i="93"/>
  <c r="B57" i="93"/>
  <c r="G56" i="93"/>
  <c r="F56" i="93"/>
  <c r="E56" i="93"/>
  <c r="D56" i="93"/>
  <c r="C56" i="93"/>
  <c r="B56" i="93"/>
  <c r="B66" i="93"/>
  <c r="B62" i="104"/>
  <c r="B61" i="104"/>
  <c r="B60" i="104"/>
  <c r="B59" i="104"/>
  <c r="B58" i="104"/>
  <c r="B57" i="104"/>
  <c r="B56" i="104"/>
  <c r="C58" i="104"/>
  <c r="G62" i="112"/>
  <c r="F62" i="112"/>
  <c r="E62" i="112"/>
  <c r="D62" i="112"/>
  <c r="C62" i="112"/>
  <c r="B62" i="112"/>
  <c r="G61" i="112"/>
  <c r="F61" i="112"/>
  <c r="E61" i="112"/>
  <c r="D61" i="112"/>
  <c r="C61" i="112"/>
  <c r="B61" i="112"/>
  <c r="G60" i="112"/>
  <c r="F60" i="112"/>
  <c r="E60" i="112"/>
  <c r="D60" i="112"/>
  <c r="C60" i="112"/>
  <c r="B60" i="112"/>
  <c r="G59" i="112"/>
  <c r="F59" i="112"/>
  <c r="E59" i="112"/>
  <c r="D59" i="112"/>
  <c r="C59" i="112"/>
  <c r="B59" i="112"/>
  <c r="G58" i="112"/>
  <c r="F58" i="112"/>
  <c r="E58" i="112"/>
  <c r="D58" i="112"/>
  <c r="C58" i="112"/>
  <c r="B58" i="112"/>
  <c r="G57" i="112"/>
  <c r="F57" i="112"/>
  <c r="E57" i="112"/>
  <c r="D57" i="112"/>
  <c r="C57" i="112"/>
  <c r="B57" i="112"/>
  <c r="G56" i="112"/>
  <c r="F56" i="112"/>
  <c r="E56" i="112"/>
  <c r="D56" i="112"/>
  <c r="C56" i="112"/>
  <c r="B56" i="112"/>
  <c r="B53" i="112"/>
  <c r="G62" i="120"/>
  <c r="F62" i="120"/>
  <c r="E62" i="120"/>
  <c r="D62" i="120"/>
  <c r="C62" i="120"/>
  <c r="B62" i="120"/>
  <c r="G61" i="120"/>
  <c r="F61" i="120"/>
  <c r="E61" i="120"/>
  <c r="D61" i="120"/>
  <c r="C61" i="120"/>
  <c r="B61" i="120"/>
  <c r="G60" i="120"/>
  <c r="F60" i="120"/>
  <c r="E60" i="120"/>
  <c r="D60" i="120"/>
  <c r="C60" i="120"/>
  <c r="B60" i="120"/>
  <c r="G59" i="120"/>
  <c r="F59" i="120"/>
  <c r="E59" i="120"/>
  <c r="D59" i="120"/>
  <c r="C59" i="120"/>
  <c r="B59" i="120"/>
  <c r="G58" i="120"/>
  <c r="F58" i="120"/>
  <c r="E58" i="120"/>
  <c r="D58" i="120"/>
  <c r="C58" i="120"/>
  <c r="B58" i="120"/>
  <c r="G57" i="120"/>
  <c r="F57" i="120"/>
  <c r="E57" i="120"/>
  <c r="D57" i="120"/>
  <c r="C57" i="120"/>
  <c r="B57" i="120"/>
  <c r="G56" i="120"/>
  <c r="F56" i="120"/>
  <c r="E56" i="120"/>
  <c r="D56" i="120"/>
  <c r="C56" i="120"/>
  <c r="B56" i="120"/>
  <c r="B53" i="120"/>
  <c r="G62" i="130"/>
  <c r="F62" i="130"/>
  <c r="E62" i="130"/>
  <c r="D62" i="130"/>
  <c r="C62" i="130"/>
  <c r="B62" i="130"/>
  <c r="G61" i="130"/>
  <c r="F61" i="130"/>
  <c r="E61" i="130"/>
  <c r="D61" i="130"/>
  <c r="C61" i="130"/>
  <c r="B61" i="130"/>
  <c r="G60" i="130"/>
  <c r="F60" i="130"/>
  <c r="E60" i="130"/>
  <c r="D60" i="130"/>
  <c r="C60" i="130"/>
  <c r="B60" i="130"/>
  <c r="G59" i="130"/>
  <c r="F59" i="130"/>
  <c r="E59" i="130"/>
  <c r="D59" i="130"/>
  <c r="C59" i="130"/>
  <c r="B59" i="130"/>
  <c r="G58" i="130"/>
  <c r="F58" i="130"/>
  <c r="E58" i="130"/>
  <c r="D58" i="130"/>
  <c r="C58" i="130"/>
  <c r="B58" i="130"/>
  <c r="G57" i="130"/>
  <c r="F57" i="130"/>
  <c r="E57" i="130"/>
  <c r="D57" i="130"/>
  <c r="C57" i="130"/>
  <c r="B57" i="130"/>
  <c r="G56" i="130"/>
  <c r="F56" i="130"/>
  <c r="E56" i="130"/>
  <c r="D56" i="130"/>
  <c r="C56" i="130"/>
  <c r="B56" i="130"/>
  <c r="B53" i="130"/>
  <c r="B62" i="88"/>
  <c r="B61" i="88"/>
  <c r="B60" i="88"/>
  <c r="B59" i="88"/>
  <c r="B58" i="88"/>
  <c r="B57" i="88"/>
  <c r="B56" i="88"/>
  <c r="G62" i="136"/>
  <c r="F62" i="136"/>
  <c r="E62" i="136"/>
  <c r="D62" i="136"/>
  <c r="C62" i="136"/>
  <c r="B62" i="136"/>
  <c r="G61" i="136"/>
  <c r="F61" i="136"/>
  <c r="E61" i="136"/>
  <c r="D61" i="136"/>
  <c r="C61" i="136"/>
  <c r="B61" i="136"/>
  <c r="G60" i="136"/>
  <c r="F60" i="136"/>
  <c r="E60" i="136"/>
  <c r="D60" i="136"/>
  <c r="C60" i="136"/>
  <c r="B60" i="136"/>
  <c r="G59" i="136"/>
  <c r="F59" i="136"/>
  <c r="E59" i="136"/>
  <c r="D59" i="136"/>
  <c r="C59" i="136"/>
  <c r="B59" i="136"/>
  <c r="G58" i="136"/>
  <c r="F58" i="136"/>
  <c r="E58" i="136"/>
  <c r="D58" i="136"/>
  <c r="C58" i="136"/>
  <c r="B58" i="136"/>
  <c r="G57" i="136"/>
  <c r="F57" i="136"/>
  <c r="E57" i="136"/>
  <c r="D57" i="136"/>
  <c r="C57" i="136"/>
  <c r="B57" i="136"/>
  <c r="G56" i="136"/>
  <c r="F56" i="136"/>
  <c r="E56" i="136"/>
  <c r="D56" i="136"/>
  <c r="C56" i="136"/>
  <c r="B56" i="136"/>
  <c r="C53" i="136"/>
  <c r="G61" i="144"/>
  <c r="G60" i="144"/>
  <c r="G59" i="144"/>
  <c r="G58" i="144"/>
  <c r="G57" i="144"/>
  <c r="G56" i="144"/>
  <c r="G55" i="144"/>
  <c r="F61" i="144"/>
  <c r="F60" i="144"/>
  <c r="F59" i="144"/>
  <c r="F58" i="144"/>
  <c r="F57" i="144"/>
  <c r="F56" i="144"/>
  <c r="F55" i="144"/>
  <c r="E61" i="144"/>
  <c r="E60" i="144"/>
  <c r="E59" i="144"/>
  <c r="E58" i="144"/>
  <c r="E57" i="144"/>
  <c r="E56" i="144"/>
  <c r="E55" i="144"/>
  <c r="D61" i="144"/>
  <c r="D60" i="144"/>
  <c r="D59" i="144"/>
  <c r="D58" i="144"/>
  <c r="D57" i="144"/>
  <c r="D56" i="144"/>
  <c r="D55" i="144"/>
  <c r="C61" i="144"/>
  <c r="C60" i="144"/>
  <c r="C59" i="144"/>
  <c r="C58" i="144"/>
  <c r="C57" i="144"/>
  <c r="C56" i="144"/>
  <c r="C55" i="144"/>
  <c r="B61" i="144"/>
  <c r="B60" i="144"/>
  <c r="B59" i="144"/>
  <c r="B58" i="144"/>
  <c r="B57" i="144"/>
  <c r="B56" i="144"/>
  <c r="B8" i="152" l="1"/>
  <c r="B43" i="152"/>
  <c r="B46" i="152" s="1"/>
  <c r="C46" i="152" s="1"/>
  <c r="D46" i="152" s="1"/>
  <c r="F8" i="152"/>
  <c r="F43" i="152"/>
  <c r="T46" i="152" s="1"/>
  <c r="T56" i="152" s="1"/>
  <c r="F42" i="152"/>
  <c r="C43" i="152"/>
  <c r="F46" i="152" s="1"/>
  <c r="C8" i="152"/>
  <c r="D43" i="152"/>
  <c r="J46" i="152" s="1"/>
  <c r="D8" i="152"/>
  <c r="D42" i="152"/>
  <c r="B43" i="151"/>
  <c r="B15" i="151"/>
  <c r="B42" i="152"/>
  <c r="C42" i="152"/>
  <c r="E42" i="152"/>
  <c r="L43" i="152"/>
  <c r="B46" i="151"/>
  <c r="AE19" i="149"/>
  <c r="AD19" i="149"/>
  <c r="AC19" i="149"/>
  <c r="AB19" i="149"/>
  <c r="AA19" i="149"/>
  <c r="Z19" i="149"/>
  <c r="Y19" i="149"/>
  <c r="X19" i="149"/>
  <c r="W19" i="149"/>
  <c r="V19" i="149"/>
  <c r="M19" i="149"/>
  <c r="H19" i="149"/>
  <c r="H16" i="149" s="1"/>
  <c r="G19" i="149"/>
  <c r="G16" i="149" s="1"/>
  <c r="D19" i="149"/>
  <c r="M16" i="149"/>
  <c r="N15" i="149"/>
  <c r="S13" i="149"/>
  <c r="V8" i="149"/>
  <c r="M8" i="149"/>
  <c r="N7" i="149"/>
  <c r="N5" i="149"/>
  <c r="U4" i="149"/>
  <c r="AG4" i="149" s="1"/>
  <c r="AE19" i="148"/>
  <c r="AD19" i="148"/>
  <c r="AC19" i="148"/>
  <c r="AB19" i="148"/>
  <c r="AA19" i="148"/>
  <c r="Z19" i="148"/>
  <c r="Y19" i="148"/>
  <c r="X19" i="148"/>
  <c r="W19" i="148"/>
  <c r="V19" i="148"/>
  <c r="M19" i="148"/>
  <c r="H19" i="148"/>
  <c r="G19" i="148"/>
  <c r="G16" i="148" s="1"/>
  <c r="D19" i="148"/>
  <c r="M16" i="148"/>
  <c r="H16" i="148"/>
  <c r="N15" i="148"/>
  <c r="S13" i="148"/>
  <c r="V8" i="148"/>
  <c r="M8" i="148"/>
  <c r="N7" i="148"/>
  <c r="N5" i="148"/>
  <c r="U4" i="148"/>
  <c r="AG4" i="148" s="1"/>
  <c r="E43" i="152" l="1"/>
  <c r="E8" i="152"/>
  <c r="B56" i="151"/>
  <c r="B56" i="152"/>
  <c r="J56" i="152"/>
  <c r="O46" i="152"/>
  <c r="K46" i="152" s="1"/>
  <c r="F56" i="152"/>
  <c r="G46" i="152"/>
  <c r="AH4" i="148"/>
  <c r="AH4" i="149"/>
  <c r="G127" i="144"/>
  <c r="H127" i="144" s="1"/>
  <c r="I127" i="144" s="1"/>
  <c r="F127" i="144"/>
  <c r="E127" i="144"/>
  <c r="D127" i="144"/>
  <c r="C127" i="144"/>
  <c r="B127" i="144"/>
  <c r="G126" i="144"/>
  <c r="H126" i="144" s="1"/>
  <c r="I126" i="144" s="1"/>
  <c r="F126" i="144"/>
  <c r="E126" i="144"/>
  <c r="D126" i="144"/>
  <c r="C126" i="144"/>
  <c r="B126" i="144"/>
  <c r="G125" i="144"/>
  <c r="F125" i="144"/>
  <c r="E125" i="144"/>
  <c r="D125" i="144"/>
  <c r="D30" i="149" s="1"/>
  <c r="C125" i="144"/>
  <c r="B125" i="144"/>
  <c r="G124" i="144"/>
  <c r="H124" i="144" s="1"/>
  <c r="I124" i="144" s="1"/>
  <c r="F124" i="144"/>
  <c r="E124" i="144"/>
  <c r="D124" i="144"/>
  <c r="C124" i="144"/>
  <c r="B124" i="144"/>
  <c r="G123" i="144"/>
  <c r="H123" i="144" s="1"/>
  <c r="I123" i="144" s="1"/>
  <c r="F123" i="144"/>
  <c r="E123" i="144"/>
  <c r="D123" i="144"/>
  <c r="C123" i="144"/>
  <c r="B123" i="144"/>
  <c r="G122" i="144"/>
  <c r="H122" i="144" s="1"/>
  <c r="I122" i="144" s="1"/>
  <c r="F122" i="144"/>
  <c r="E122" i="144"/>
  <c r="D122" i="144"/>
  <c r="C122" i="144"/>
  <c r="B122" i="144"/>
  <c r="G120" i="144"/>
  <c r="H120" i="144" s="1"/>
  <c r="I120" i="144" s="1"/>
  <c r="F120" i="144"/>
  <c r="E120" i="144"/>
  <c r="D120" i="144"/>
  <c r="C120" i="144"/>
  <c r="B120" i="144"/>
  <c r="G119" i="144"/>
  <c r="F119" i="144"/>
  <c r="E119" i="144"/>
  <c r="D119" i="144"/>
  <c r="C119" i="144"/>
  <c r="B119" i="144"/>
  <c r="G118" i="144"/>
  <c r="H118" i="144" s="1"/>
  <c r="I118" i="144" s="1"/>
  <c r="F118" i="144"/>
  <c r="E118" i="144"/>
  <c r="D118" i="144"/>
  <c r="C118" i="144"/>
  <c r="B118" i="144"/>
  <c r="G117" i="144"/>
  <c r="H117" i="144" s="1"/>
  <c r="I117" i="144" s="1"/>
  <c r="F117" i="144"/>
  <c r="E117" i="144"/>
  <c r="D117" i="144"/>
  <c r="C117" i="144"/>
  <c r="B117" i="144"/>
  <c r="G116" i="144"/>
  <c r="H116" i="144" s="1"/>
  <c r="I116" i="144" s="1"/>
  <c r="F116" i="144"/>
  <c r="E116" i="144"/>
  <c r="D116" i="144"/>
  <c r="C116" i="144"/>
  <c r="B116" i="144"/>
  <c r="G115" i="144"/>
  <c r="F115" i="144"/>
  <c r="E115" i="144"/>
  <c r="D115" i="144"/>
  <c r="C115" i="144"/>
  <c r="B115" i="144"/>
  <c r="G113" i="144"/>
  <c r="H113" i="144" s="1"/>
  <c r="I113" i="144" s="1"/>
  <c r="F113" i="144"/>
  <c r="E113" i="144"/>
  <c r="D113" i="144"/>
  <c r="C113" i="144"/>
  <c r="B113" i="144"/>
  <c r="G112" i="144"/>
  <c r="H112" i="144" s="1"/>
  <c r="I112" i="144" s="1"/>
  <c r="F112" i="144"/>
  <c r="E112" i="144"/>
  <c r="D112" i="144"/>
  <c r="C112" i="144"/>
  <c r="B112" i="144"/>
  <c r="G111" i="144"/>
  <c r="H111" i="144" s="1"/>
  <c r="I111" i="144" s="1"/>
  <c r="F111" i="144"/>
  <c r="E111" i="144"/>
  <c r="D111" i="144"/>
  <c r="C111" i="144"/>
  <c r="B111" i="144"/>
  <c r="G110" i="144"/>
  <c r="H110" i="144" s="1"/>
  <c r="I110" i="144" s="1"/>
  <c r="F110" i="144"/>
  <c r="E110" i="144"/>
  <c r="D110" i="144"/>
  <c r="C110" i="144"/>
  <c r="B110" i="144"/>
  <c r="G109" i="144"/>
  <c r="F109" i="144"/>
  <c r="E109" i="144"/>
  <c r="D109" i="144"/>
  <c r="C109" i="144"/>
  <c r="B109" i="144"/>
  <c r="G108" i="144"/>
  <c r="F108" i="144"/>
  <c r="E108" i="144"/>
  <c r="D108" i="144"/>
  <c r="C108" i="144"/>
  <c r="B108" i="144"/>
  <c r="G106" i="144"/>
  <c r="H106" i="144" s="1"/>
  <c r="I106" i="144" s="1"/>
  <c r="T12" i="90" s="1"/>
  <c r="F106" i="144"/>
  <c r="E106" i="144"/>
  <c r="D106" i="144"/>
  <c r="C106" i="144"/>
  <c r="B106" i="144"/>
  <c r="G104" i="144"/>
  <c r="H104" i="144" s="1"/>
  <c r="F104" i="144"/>
  <c r="E104" i="144"/>
  <c r="D104" i="144"/>
  <c r="C104" i="144"/>
  <c r="B104" i="144"/>
  <c r="G103" i="144"/>
  <c r="H103" i="144" s="1"/>
  <c r="I103" i="144" s="1"/>
  <c r="T9" i="90" s="1"/>
  <c r="F103" i="144"/>
  <c r="E103" i="144"/>
  <c r="D103" i="144"/>
  <c r="C103" i="144"/>
  <c r="B103" i="144"/>
  <c r="G100" i="144"/>
  <c r="H100" i="144" s="1"/>
  <c r="F100" i="144"/>
  <c r="F101" i="144" s="1"/>
  <c r="E100" i="144"/>
  <c r="E101" i="144" s="1"/>
  <c r="D100" i="144"/>
  <c r="D101" i="144" s="1"/>
  <c r="C100" i="144"/>
  <c r="C101" i="144" s="1"/>
  <c r="B100" i="144"/>
  <c r="B101" i="144" s="1"/>
  <c r="G97" i="144"/>
  <c r="G98" i="144" s="1"/>
  <c r="F97" i="144"/>
  <c r="F98" i="144" s="1"/>
  <c r="E97" i="144"/>
  <c r="E98" i="144" s="1"/>
  <c r="D97" i="144"/>
  <c r="C97" i="144"/>
  <c r="B97" i="144"/>
  <c r="B98" i="144" s="1"/>
  <c r="G94" i="144"/>
  <c r="H94" i="144" s="1"/>
  <c r="F94" i="144"/>
  <c r="E94" i="144"/>
  <c r="D94" i="144"/>
  <c r="C94" i="144"/>
  <c r="B94" i="144"/>
  <c r="G93" i="144"/>
  <c r="H93" i="144" s="1"/>
  <c r="I93" i="144" s="1"/>
  <c r="F93" i="144"/>
  <c r="E93" i="144"/>
  <c r="D93" i="144"/>
  <c r="C93" i="144"/>
  <c r="B93" i="144"/>
  <c r="B95" i="144" s="1"/>
  <c r="G89" i="144"/>
  <c r="H89" i="144" s="1"/>
  <c r="I89" i="144" s="1"/>
  <c r="F89" i="144"/>
  <c r="E89" i="144"/>
  <c r="D89" i="144"/>
  <c r="C89" i="144"/>
  <c r="B89" i="144"/>
  <c r="G87" i="144"/>
  <c r="H87" i="144" s="1"/>
  <c r="I87" i="144" s="1"/>
  <c r="F87" i="144"/>
  <c r="E87" i="144"/>
  <c r="D87" i="144"/>
  <c r="C87" i="144"/>
  <c r="B87" i="144"/>
  <c r="G85" i="144"/>
  <c r="H85" i="144" s="1"/>
  <c r="F85" i="144"/>
  <c r="E85" i="144"/>
  <c r="D85" i="144"/>
  <c r="C85" i="144"/>
  <c r="B85" i="144"/>
  <c r="G84" i="144"/>
  <c r="F84" i="144"/>
  <c r="E84" i="144"/>
  <c r="D84" i="144"/>
  <c r="C84" i="144"/>
  <c r="B84" i="144"/>
  <c r="G82" i="144"/>
  <c r="H82" i="144" s="1"/>
  <c r="I82" i="144" s="1"/>
  <c r="F82" i="144"/>
  <c r="E82" i="144"/>
  <c r="D82" i="144"/>
  <c r="C82" i="144"/>
  <c r="B82" i="144"/>
  <c r="G81" i="144"/>
  <c r="H81" i="144" s="1"/>
  <c r="I81" i="144" s="1"/>
  <c r="F81" i="144"/>
  <c r="E81" i="144"/>
  <c r="D81" i="144"/>
  <c r="C81" i="144"/>
  <c r="B81" i="144"/>
  <c r="G80" i="144"/>
  <c r="H80" i="144" s="1"/>
  <c r="I80" i="144" s="1"/>
  <c r="F80" i="144"/>
  <c r="E80" i="144"/>
  <c r="D80" i="144"/>
  <c r="C80" i="144"/>
  <c r="B80" i="144"/>
  <c r="G79" i="144"/>
  <c r="H79" i="144" s="1"/>
  <c r="I79" i="144" s="1"/>
  <c r="F79" i="144"/>
  <c r="E79" i="144"/>
  <c r="D79" i="144"/>
  <c r="C79" i="144"/>
  <c r="B79" i="144"/>
  <c r="G78" i="144"/>
  <c r="H78" i="144" s="1"/>
  <c r="I78" i="144" s="1"/>
  <c r="F78" i="144"/>
  <c r="E78" i="144"/>
  <c r="D78" i="144"/>
  <c r="C78" i="144"/>
  <c r="B78" i="144"/>
  <c r="G77" i="144"/>
  <c r="H77" i="144" s="1"/>
  <c r="F77" i="144"/>
  <c r="E77" i="144"/>
  <c r="D77" i="144"/>
  <c r="C77" i="144"/>
  <c r="B77" i="144"/>
  <c r="G76" i="144"/>
  <c r="F76" i="144"/>
  <c r="E76" i="144"/>
  <c r="D76" i="144"/>
  <c r="C76" i="144"/>
  <c r="B76" i="144"/>
  <c r="G72" i="144"/>
  <c r="H72" i="144" s="1"/>
  <c r="I72" i="144" s="1"/>
  <c r="F72" i="144"/>
  <c r="E72" i="144"/>
  <c r="D72" i="144"/>
  <c r="C72" i="144"/>
  <c r="B72" i="144"/>
  <c r="G71" i="144"/>
  <c r="H71" i="144" s="1"/>
  <c r="I71" i="144" s="1"/>
  <c r="F71" i="144"/>
  <c r="E71" i="144"/>
  <c r="D71" i="144"/>
  <c r="C71" i="144"/>
  <c r="B71" i="144"/>
  <c r="G69" i="144"/>
  <c r="H69" i="144" s="1"/>
  <c r="I69" i="144" s="1"/>
  <c r="F69" i="144"/>
  <c r="E69" i="144"/>
  <c r="D69" i="144"/>
  <c r="C69" i="144"/>
  <c r="B69" i="144"/>
  <c r="G68" i="144"/>
  <c r="F68" i="144"/>
  <c r="E68" i="144"/>
  <c r="D68" i="144"/>
  <c r="C68" i="144"/>
  <c r="B68" i="144"/>
  <c r="G67" i="144"/>
  <c r="H67" i="144" s="1"/>
  <c r="I67" i="144" s="1"/>
  <c r="F67" i="144"/>
  <c r="E67" i="144"/>
  <c r="D67" i="144"/>
  <c r="C67" i="144"/>
  <c r="B67" i="144"/>
  <c r="G66" i="144"/>
  <c r="H66" i="144" s="1"/>
  <c r="I66" i="144" s="1"/>
  <c r="F66" i="144"/>
  <c r="E66" i="144"/>
  <c r="D66" i="144"/>
  <c r="C66" i="144"/>
  <c r="B66" i="144"/>
  <c r="G65" i="144"/>
  <c r="H65" i="144" s="1"/>
  <c r="I65" i="144" s="1"/>
  <c r="F65" i="144"/>
  <c r="E65" i="144"/>
  <c r="D65" i="144"/>
  <c r="C65" i="144"/>
  <c r="B65" i="144"/>
  <c r="G64" i="144"/>
  <c r="H64" i="144" s="1"/>
  <c r="I64" i="144" s="1"/>
  <c r="F64" i="144"/>
  <c r="E64" i="144"/>
  <c r="D64" i="144"/>
  <c r="C64" i="144"/>
  <c r="B64" i="144"/>
  <c r="G63" i="144"/>
  <c r="H63" i="144" s="1"/>
  <c r="I63" i="144" s="1"/>
  <c r="F63" i="144"/>
  <c r="E63" i="144"/>
  <c r="D63" i="144"/>
  <c r="C63" i="144"/>
  <c r="B63" i="144"/>
  <c r="B55" i="144"/>
  <c r="G53" i="144"/>
  <c r="H53" i="144" s="1"/>
  <c r="I53" i="144" s="1"/>
  <c r="F53" i="144"/>
  <c r="E53" i="144"/>
  <c r="D53" i="144"/>
  <c r="C53" i="144"/>
  <c r="B53" i="144"/>
  <c r="G52" i="144"/>
  <c r="F52" i="144"/>
  <c r="E52" i="144"/>
  <c r="D52" i="144"/>
  <c r="C52" i="144"/>
  <c r="B52" i="144"/>
  <c r="G51" i="144"/>
  <c r="H51" i="144" s="1"/>
  <c r="I51" i="144" s="1"/>
  <c r="F51" i="144"/>
  <c r="E51" i="144"/>
  <c r="D51" i="144"/>
  <c r="C51" i="144"/>
  <c r="B51" i="144"/>
  <c r="G50" i="144"/>
  <c r="H50" i="144" s="1"/>
  <c r="I50" i="144" s="1"/>
  <c r="F50" i="144"/>
  <c r="E50" i="144"/>
  <c r="D50" i="144"/>
  <c r="C50" i="144"/>
  <c r="B50" i="144"/>
  <c r="G49" i="144"/>
  <c r="H49" i="144" s="1"/>
  <c r="I49" i="144" s="1"/>
  <c r="F49" i="144"/>
  <c r="E49" i="144"/>
  <c r="D49" i="144"/>
  <c r="C49" i="144"/>
  <c r="B49" i="144"/>
  <c r="G48" i="144"/>
  <c r="H48" i="144" s="1"/>
  <c r="I48" i="144" s="1"/>
  <c r="F48" i="144"/>
  <c r="E48" i="144"/>
  <c r="D48" i="144"/>
  <c r="C48" i="144"/>
  <c r="B48" i="144"/>
  <c r="G47" i="144"/>
  <c r="F47" i="144"/>
  <c r="E47" i="144"/>
  <c r="D47" i="144"/>
  <c r="C47" i="144"/>
  <c r="B47" i="144"/>
  <c r="G45" i="144"/>
  <c r="H45" i="144" s="1"/>
  <c r="I45" i="144" s="1"/>
  <c r="F45" i="144"/>
  <c r="E45" i="144"/>
  <c r="D45" i="144"/>
  <c r="C45" i="144"/>
  <c r="B45" i="144"/>
  <c r="G44" i="144"/>
  <c r="F44" i="144"/>
  <c r="E44" i="144"/>
  <c r="D44" i="144"/>
  <c r="C44" i="144"/>
  <c r="B44" i="144"/>
  <c r="G43" i="144"/>
  <c r="H43" i="144" s="1"/>
  <c r="F43" i="144"/>
  <c r="E43" i="144"/>
  <c r="D43" i="144"/>
  <c r="C43" i="144"/>
  <c r="B43" i="144"/>
  <c r="G42" i="144"/>
  <c r="H42" i="144" s="1"/>
  <c r="I42" i="144" s="1"/>
  <c r="F42" i="144"/>
  <c r="E42" i="144"/>
  <c r="D42" i="144"/>
  <c r="C42" i="144"/>
  <c r="B42" i="144"/>
  <c r="G41" i="144"/>
  <c r="H41" i="144" s="1"/>
  <c r="I41" i="144" s="1"/>
  <c r="F41" i="144"/>
  <c r="E41" i="144"/>
  <c r="D41" i="144"/>
  <c r="C41" i="144"/>
  <c r="B41" i="144"/>
  <c r="G40" i="144"/>
  <c r="H40" i="144" s="1"/>
  <c r="I40" i="144" s="1"/>
  <c r="F40" i="144"/>
  <c r="E40" i="144"/>
  <c r="D40" i="144"/>
  <c r="C40" i="144"/>
  <c r="B40" i="144"/>
  <c r="G39" i="144"/>
  <c r="H39" i="144" s="1"/>
  <c r="I39" i="144" s="1"/>
  <c r="F39" i="144"/>
  <c r="E39" i="144"/>
  <c r="D39" i="144"/>
  <c r="C39" i="144"/>
  <c r="B39" i="144"/>
  <c r="G37" i="144"/>
  <c r="H37" i="144" s="1"/>
  <c r="I37" i="144" s="1"/>
  <c r="F37" i="144"/>
  <c r="E37" i="144"/>
  <c r="D37" i="144"/>
  <c r="C37" i="144"/>
  <c r="B37" i="144"/>
  <c r="G36" i="144"/>
  <c r="F36" i="144"/>
  <c r="E36" i="144"/>
  <c r="D36" i="144"/>
  <c r="C36" i="144"/>
  <c r="B36" i="144"/>
  <c r="G35" i="144"/>
  <c r="F35" i="144"/>
  <c r="E35" i="144"/>
  <c r="D35" i="144"/>
  <c r="C35" i="144"/>
  <c r="B35" i="144"/>
  <c r="G34" i="144"/>
  <c r="H34" i="144" s="1"/>
  <c r="I34" i="144" s="1"/>
  <c r="F34" i="144"/>
  <c r="E34" i="144"/>
  <c r="D34" i="144"/>
  <c r="C34" i="144"/>
  <c r="B34" i="144"/>
  <c r="G33" i="144"/>
  <c r="H33" i="144" s="1"/>
  <c r="I33" i="144" s="1"/>
  <c r="F33" i="144"/>
  <c r="E33" i="144"/>
  <c r="D33" i="144"/>
  <c r="C33" i="144"/>
  <c r="B33" i="144"/>
  <c r="G32" i="144"/>
  <c r="H32" i="144" s="1"/>
  <c r="I32" i="144" s="1"/>
  <c r="F32" i="144"/>
  <c r="E32" i="144"/>
  <c r="D32" i="144"/>
  <c r="C32" i="144"/>
  <c r="B32" i="144"/>
  <c r="G31" i="144"/>
  <c r="H31" i="144" s="1"/>
  <c r="I31" i="144" s="1"/>
  <c r="F31" i="144"/>
  <c r="E31" i="144"/>
  <c r="D31" i="144"/>
  <c r="C31" i="144"/>
  <c r="B31" i="144"/>
  <c r="G29" i="144"/>
  <c r="H29" i="144" s="1"/>
  <c r="I29" i="144" s="1"/>
  <c r="F29" i="144"/>
  <c r="E29" i="144"/>
  <c r="D29" i="144"/>
  <c r="C29" i="144"/>
  <c r="B29" i="144"/>
  <c r="G28" i="144"/>
  <c r="F28" i="144"/>
  <c r="E28" i="144"/>
  <c r="D28" i="144"/>
  <c r="C28" i="144"/>
  <c r="B28" i="144"/>
  <c r="G27" i="144"/>
  <c r="H27" i="144" s="1"/>
  <c r="I27" i="144" s="1"/>
  <c r="F27" i="144"/>
  <c r="E27" i="144"/>
  <c r="D27" i="144"/>
  <c r="C27" i="144"/>
  <c r="B27" i="144"/>
  <c r="G26" i="144"/>
  <c r="H26" i="144" s="1"/>
  <c r="I26" i="144" s="1"/>
  <c r="F26" i="144"/>
  <c r="E26" i="144"/>
  <c r="D26" i="144"/>
  <c r="C26" i="144"/>
  <c r="B26" i="144"/>
  <c r="G25" i="144"/>
  <c r="H25" i="144" s="1"/>
  <c r="I25" i="144" s="1"/>
  <c r="F25" i="144"/>
  <c r="E25" i="144"/>
  <c r="D25" i="144"/>
  <c r="C25" i="144"/>
  <c r="B25" i="144"/>
  <c r="G24" i="144"/>
  <c r="F24" i="144"/>
  <c r="E24" i="144"/>
  <c r="D24" i="144"/>
  <c r="C24" i="144"/>
  <c r="B24" i="144"/>
  <c r="G23" i="144"/>
  <c r="H23" i="144" s="1"/>
  <c r="I23" i="144" s="1"/>
  <c r="F23" i="144"/>
  <c r="E23" i="144"/>
  <c r="D23" i="144"/>
  <c r="C23" i="144"/>
  <c r="B23" i="144"/>
  <c r="G21" i="144"/>
  <c r="H21" i="144" s="1"/>
  <c r="I21" i="144" s="1"/>
  <c r="F21" i="144"/>
  <c r="E21" i="144"/>
  <c r="D21" i="144"/>
  <c r="C21" i="144"/>
  <c r="B21" i="144"/>
  <c r="G20" i="144"/>
  <c r="F20" i="144"/>
  <c r="E20" i="144"/>
  <c r="D20" i="144"/>
  <c r="C20" i="144"/>
  <c r="B20" i="144"/>
  <c r="G19" i="144"/>
  <c r="H19" i="144" s="1"/>
  <c r="I19" i="144" s="1"/>
  <c r="F19" i="144"/>
  <c r="E19" i="144"/>
  <c r="D19" i="144"/>
  <c r="C19" i="144"/>
  <c r="B19" i="144"/>
  <c r="G18" i="144"/>
  <c r="H18" i="144" s="1"/>
  <c r="I18" i="144" s="1"/>
  <c r="F18" i="144"/>
  <c r="E18" i="144"/>
  <c r="D18" i="144"/>
  <c r="C18" i="144"/>
  <c r="B18" i="144"/>
  <c r="G17" i="144"/>
  <c r="I17" i="144" s="1"/>
  <c r="F17" i="144"/>
  <c r="E17" i="144"/>
  <c r="D17" i="144"/>
  <c r="C17" i="144"/>
  <c r="B17" i="144"/>
  <c r="G16" i="144"/>
  <c r="H16" i="144" s="1"/>
  <c r="I16" i="144" s="1"/>
  <c r="F16" i="144"/>
  <c r="E16" i="144"/>
  <c r="D16" i="144"/>
  <c r="C16" i="144"/>
  <c r="B16" i="144"/>
  <c r="G15" i="144"/>
  <c r="H15" i="144" s="1"/>
  <c r="I15" i="144" s="1"/>
  <c r="F15" i="144"/>
  <c r="E15" i="144"/>
  <c r="D15" i="144"/>
  <c r="C15" i="144"/>
  <c r="B15" i="144"/>
  <c r="G14" i="144"/>
  <c r="F14" i="144"/>
  <c r="E14" i="144"/>
  <c r="D14" i="144"/>
  <c r="C14" i="144"/>
  <c r="B14" i="144"/>
  <c r="G4" i="144"/>
  <c r="F4" i="144"/>
  <c r="E4" i="144"/>
  <c r="D4" i="144"/>
  <c r="D12" i="144" s="1"/>
  <c r="C4" i="144"/>
  <c r="C12" i="144" s="1"/>
  <c r="B4" i="144"/>
  <c r="G1" i="144"/>
  <c r="F1" i="144"/>
  <c r="E1" i="144"/>
  <c r="D1" i="144"/>
  <c r="C1" i="144"/>
  <c r="B1" i="144"/>
  <c r="H141" i="144"/>
  <c r="I141" i="144" s="1"/>
  <c r="H140" i="144"/>
  <c r="I140" i="144" s="1"/>
  <c r="H139" i="144"/>
  <c r="I139" i="144" s="1"/>
  <c r="H138" i="144"/>
  <c r="I138" i="144" s="1"/>
  <c r="H131" i="144"/>
  <c r="I131" i="144" s="1"/>
  <c r="H130" i="144"/>
  <c r="H119" i="144"/>
  <c r="I119" i="144" s="1"/>
  <c r="H109" i="144"/>
  <c r="I109" i="144" s="1"/>
  <c r="H105" i="144"/>
  <c r="I105" i="144" s="1"/>
  <c r="T11" i="90" s="1"/>
  <c r="D98" i="144"/>
  <c r="C98" i="144"/>
  <c r="H91" i="144"/>
  <c r="I91" i="144" s="1"/>
  <c r="H75" i="144"/>
  <c r="I75" i="144" s="1"/>
  <c r="H61" i="144"/>
  <c r="H59" i="144"/>
  <c r="I59" i="144" s="1"/>
  <c r="H58" i="144"/>
  <c r="I58" i="144" s="1"/>
  <c r="H57" i="144"/>
  <c r="I57" i="144" s="1"/>
  <c r="H56" i="144"/>
  <c r="I56" i="144" s="1"/>
  <c r="H55" i="144"/>
  <c r="I55" i="144" s="1"/>
  <c r="H35" i="144"/>
  <c r="I35" i="144" s="1"/>
  <c r="L32" i="143"/>
  <c r="K32" i="143"/>
  <c r="J32" i="143"/>
  <c r="I32" i="143"/>
  <c r="H32" i="143"/>
  <c r="G32" i="143"/>
  <c r="F32" i="143"/>
  <c r="E32" i="143"/>
  <c r="D32" i="143"/>
  <c r="C32" i="143"/>
  <c r="B32" i="143"/>
  <c r="L32" i="142"/>
  <c r="K32" i="142"/>
  <c r="J32" i="142"/>
  <c r="I32" i="142"/>
  <c r="H32" i="142"/>
  <c r="G32" i="142"/>
  <c r="F32" i="142"/>
  <c r="E32" i="142"/>
  <c r="D32" i="142"/>
  <c r="C32" i="142"/>
  <c r="B32" i="142"/>
  <c r="L32" i="141"/>
  <c r="K32" i="141"/>
  <c r="J32" i="141"/>
  <c r="I32" i="141"/>
  <c r="H32" i="141"/>
  <c r="G32" i="141"/>
  <c r="F32" i="141"/>
  <c r="E32" i="141"/>
  <c r="D32" i="141"/>
  <c r="C32" i="141"/>
  <c r="B32" i="141"/>
  <c r="L32" i="140"/>
  <c r="K32" i="140"/>
  <c r="J32" i="140"/>
  <c r="I32" i="140"/>
  <c r="H32" i="140"/>
  <c r="G32" i="140"/>
  <c r="F32" i="140"/>
  <c r="E32" i="140"/>
  <c r="D32" i="140"/>
  <c r="C32" i="140"/>
  <c r="B32" i="140"/>
  <c r="L32" i="139"/>
  <c r="K32" i="139"/>
  <c r="J32" i="139"/>
  <c r="I32" i="139"/>
  <c r="H32" i="139"/>
  <c r="G32" i="139"/>
  <c r="F32" i="139"/>
  <c r="E32" i="139"/>
  <c r="D32" i="139"/>
  <c r="C32" i="139"/>
  <c r="B32" i="139"/>
  <c r="G128" i="136"/>
  <c r="F128" i="136"/>
  <c r="E128" i="136"/>
  <c r="D128" i="136"/>
  <c r="C128" i="136"/>
  <c r="B128" i="136"/>
  <c r="G127" i="136"/>
  <c r="F127" i="136"/>
  <c r="E127" i="136"/>
  <c r="D127" i="136"/>
  <c r="C127" i="136"/>
  <c r="B127" i="136"/>
  <c r="G126" i="136"/>
  <c r="F126" i="136"/>
  <c r="E126" i="136"/>
  <c r="D126" i="136"/>
  <c r="C126" i="136"/>
  <c r="B126" i="136"/>
  <c r="G125" i="136"/>
  <c r="F125" i="136"/>
  <c r="E125" i="136"/>
  <c r="D125" i="136"/>
  <c r="C125" i="136"/>
  <c r="B125" i="136"/>
  <c r="G124" i="136"/>
  <c r="F124" i="136"/>
  <c r="E124" i="136"/>
  <c r="D124" i="136"/>
  <c r="C124" i="136"/>
  <c r="B124" i="136"/>
  <c r="G123" i="136"/>
  <c r="F123" i="136"/>
  <c r="E123" i="136"/>
  <c r="D123" i="136"/>
  <c r="C123" i="136"/>
  <c r="B123" i="136"/>
  <c r="G121" i="136"/>
  <c r="F121" i="136"/>
  <c r="E121" i="136"/>
  <c r="D121" i="136"/>
  <c r="C121" i="136"/>
  <c r="B121" i="136"/>
  <c r="G120" i="136"/>
  <c r="F120" i="136"/>
  <c r="E120" i="136"/>
  <c r="D120" i="136"/>
  <c r="C120" i="136"/>
  <c r="B120" i="136"/>
  <c r="G119" i="136"/>
  <c r="F119" i="136"/>
  <c r="E119" i="136"/>
  <c r="D119" i="136"/>
  <c r="C119" i="136"/>
  <c r="B119" i="136"/>
  <c r="G118" i="136"/>
  <c r="F118" i="136"/>
  <c r="E118" i="136"/>
  <c r="D118" i="136"/>
  <c r="C118" i="136"/>
  <c r="B118" i="136"/>
  <c r="G117" i="136"/>
  <c r="F117" i="136"/>
  <c r="E117" i="136"/>
  <c r="D117" i="136"/>
  <c r="C117" i="136"/>
  <c r="B117" i="136"/>
  <c r="G116" i="136"/>
  <c r="F116" i="136"/>
  <c r="E116" i="136"/>
  <c r="D116" i="136"/>
  <c r="C116" i="136"/>
  <c r="B116" i="136"/>
  <c r="G114" i="136"/>
  <c r="F114" i="136"/>
  <c r="E114" i="136"/>
  <c r="D114" i="136"/>
  <c r="C114" i="136"/>
  <c r="B114" i="136"/>
  <c r="G113" i="136"/>
  <c r="F113" i="136"/>
  <c r="E113" i="136"/>
  <c r="D113" i="136"/>
  <c r="C113" i="136"/>
  <c r="B113" i="136"/>
  <c r="G112" i="136"/>
  <c r="F112" i="136"/>
  <c r="E112" i="136"/>
  <c r="D112" i="136"/>
  <c r="C112" i="136"/>
  <c r="B112" i="136"/>
  <c r="G111" i="136"/>
  <c r="F111" i="136"/>
  <c r="E111" i="136"/>
  <c r="D111" i="136"/>
  <c r="C111" i="136"/>
  <c r="B111" i="136"/>
  <c r="G110" i="136"/>
  <c r="F110" i="136"/>
  <c r="E110" i="136"/>
  <c r="D110" i="136"/>
  <c r="C110" i="136"/>
  <c r="B110" i="136"/>
  <c r="G109" i="136"/>
  <c r="F109" i="136"/>
  <c r="E109" i="136"/>
  <c r="D109" i="136"/>
  <c r="C109" i="136"/>
  <c r="B109" i="136"/>
  <c r="G107" i="136"/>
  <c r="F107" i="136"/>
  <c r="E107" i="136"/>
  <c r="D107" i="136"/>
  <c r="C107" i="136"/>
  <c r="B107" i="136"/>
  <c r="G105" i="136"/>
  <c r="F105" i="136"/>
  <c r="E105" i="136"/>
  <c r="D105" i="136"/>
  <c r="C105" i="136"/>
  <c r="B105" i="136"/>
  <c r="G104" i="136"/>
  <c r="F104" i="136"/>
  <c r="E104" i="136"/>
  <c r="D104" i="136"/>
  <c r="C104" i="136"/>
  <c r="B104" i="136"/>
  <c r="G101" i="136"/>
  <c r="F101" i="136"/>
  <c r="E101" i="136"/>
  <c r="D101" i="136"/>
  <c r="C101" i="136"/>
  <c r="B101" i="136"/>
  <c r="G98" i="136"/>
  <c r="F98" i="136"/>
  <c r="E98" i="136"/>
  <c r="D98" i="136"/>
  <c r="C98" i="136"/>
  <c r="B98" i="136"/>
  <c r="G95" i="136"/>
  <c r="F95" i="136"/>
  <c r="E95" i="136"/>
  <c r="D95" i="136"/>
  <c r="C95" i="136"/>
  <c r="B95" i="136"/>
  <c r="G94" i="136"/>
  <c r="F94" i="136"/>
  <c r="E94" i="136"/>
  <c r="D94" i="136"/>
  <c r="C94" i="136"/>
  <c r="B94" i="136"/>
  <c r="G90" i="136"/>
  <c r="F90" i="136"/>
  <c r="E90" i="136"/>
  <c r="D90" i="136"/>
  <c r="C90" i="136"/>
  <c r="B90" i="136"/>
  <c r="G88" i="136"/>
  <c r="F88" i="136"/>
  <c r="E88" i="136"/>
  <c r="D88" i="136"/>
  <c r="C88" i="136"/>
  <c r="B88" i="136"/>
  <c r="G86" i="136"/>
  <c r="F86" i="136"/>
  <c r="E86" i="136"/>
  <c r="D86" i="136"/>
  <c r="C86" i="136"/>
  <c r="B86" i="136"/>
  <c r="G85" i="136"/>
  <c r="F85" i="136"/>
  <c r="E85" i="136"/>
  <c r="D85" i="136"/>
  <c r="C85" i="136"/>
  <c r="B85" i="136"/>
  <c r="G83" i="136"/>
  <c r="F83" i="136"/>
  <c r="E83" i="136"/>
  <c r="D83" i="136"/>
  <c r="C83" i="136"/>
  <c r="B83" i="136"/>
  <c r="G82" i="136"/>
  <c r="F82" i="136"/>
  <c r="E82" i="136"/>
  <c r="D82" i="136"/>
  <c r="C82" i="136"/>
  <c r="B82" i="136"/>
  <c r="G81" i="136"/>
  <c r="F81" i="136"/>
  <c r="E81" i="136"/>
  <c r="D81" i="136"/>
  <c r="C81" i="136"/>
  <c r="B81" i="136"/>
  <c r="G80" i="136"/>
  <c r="F80" i="136"/>
  <c r="E80" i="136"/>
  <c r="D80" i="136"/>
  <c r="C80" i="136"/>
  <c r="B80" i="136"/>
  <c r="G79" i="136"/>
  <c r="F79" i="136"/>
  <c r="E79" i="136"/>
  <c r="D79" i="136"/>
  <c r="C79" i="136"/>
  <c r="B79" i="136"/>
  <c r="G78" i="136"/>
  <c r="F78" i="136"/>
  <c r="E78" i="136"/>
  <c r="D78" i="136"/>
  <c r="C78" i="136"/>
  <c r="B78" i="136"/>
  <c r="G77" i="136"/>
  <c r="F77" i="136"/>
  <c r="E77" i="136"/>
  <c r="D77" i="136"/>
  <c r="C77" i="136"/>
  <c r="B77" i="136"/>
  <c r="G73" i="136"/>
  <c r="F73" i="136"/>
  <c r="E73" i="136"/>
  <c r="D73" i="136"/>
  <c r="C73" i="136"/>
  <c r="B73" i="136"/>
  <c r="G72" i="136"/>
  <c r="F72" i="136"/>
  <c r="E72" i="136"/>
  <c r="D72" i="136"/>
  <c r="C72" i="136"/>
  <c r="B72" i="136"/>
  <c r="G70" i="136"/>
  <c r="F70" i="136"/>
  <c r="E70" i="136"/>
  <c r="D70" i="136"/>
  <c r="C70" i="136"/>
  <c r="B70" i="136"/>
  <c r="G69" i="136"/>
  <c r="F69" i="136"/>
  <c r="E69" i="136"/>
  <c r="D69" i="136"/>
  <c r="C69" i="136"/>
  <c r="B69" i="136"/>
  <c r="G68" i="136"/>
  <c r="F68" i="136"/>
  <c r="E68" i="136"/>
  <c r="D68" i="136"/>
  <c r="C68" i="136"/>
  <c r="B68" i="136"/>
  <c r="G67" i="136"/>
  <c r="F67" i="136"/>
  <c r="E67" i="136"/>
  <c r="D67" i="136"/>
  <c r="C67" i="136"/>
  <c r="B67" i="136"/>
  <c r="G66" i="136"/>
  <c r="F66" i="136"/>
  <c r="E66" i="136"/>
  <c r="D66" i="136"/>
  <c r="C66" i="136"/>
  <c r="B66" i="136"/>
  <c r="G65" i="136"/>
  <c r="F65" i="136"/>
  <c r="E65" i="136"/>
  <c r="D65" i="136"/>
  <c r="C65" i="136"/>
  <c r="B65" i="136"/>
  <c r="G64" i="136"/>
  <c r="F64" i="136"/>
  <c r="E64" i="136"/>
  <c r="D64" i="136"/>
  <c r="C64" i="136"/>
  <c r="B64" i="136"/>
  <c r="G54" i="136"/>
  <c r="F54" i="136"/>
  <c r="E54" i="136"/>
  <c r="D54" i="136"/>
  <c r="C54" i="136"/>
  <c r="B54" i="136"/>
  <c r="G53" i="136"/>
  <c r="F53" i="136"/>
  <c r="E53" i="136"/>
  <c r="D53" i="136"/>
  <c r="B53" i="136"/>
  <c r="G52" i="136"/>
  <c r="F52" i="136"/>
  <c r="E52" i="136"/>
  <c r="D52" i="136"/>
  <c r="C52" i="136"/>
  <c r="B52" i="136"/>
  <c r="G51" i="136"/>
  <c r="F51" i="136"/>
  <c r="E51" i="136"/>
  <c r="D51" i="136"/>
  <c r="C51" i="136"/>
  <c r="B51" i="136"/>
  <c r="G50" i="136"/>
  <c r="F50" i="136"/>
  <c r="E50" i="136"/>
  <c r="D50" i="136"/>
  <c r="C50" i="136"/>
  <c r="B50" i="136"/>
  <c r="G49" i="136"/>
  <c r="F49" i="136"/>
  <c r="E49" i="136"/>
  <c r="D49" i="136"/>
  <c r="C49" i="136"/>
  <c r="B49" i="136"/>
  <c r="G48" i="136"/>
  <c r="F48" i="136"/>
  <c r="E48" i="136"/>
  <c r="D48" i="136"/>
  <c r="C48" i="136"/>
  <c r="B48" i="136"/>
  <c r="G46" i="136"/>
  <c r="F46" i="136"/>
  <c r="E46" i="136"/>
  <c r="D46" i="136"/>
  <c r="C46" i="136"/>
  <c r="B46" i="136"/>
  <c r="G45" i="136"/>
  <c r="F45" i="136"/>
  <c r="E45" i="136"/>
  <c r="D45" i="136"/>
  <c r="C45" i="136"/>
  <c r="B45" i="136"/>
  <c r="G44" i="136"/>
  <c r="F44" i="136"/>
  <c r="E44" i="136"/>
  <c r="D44" i="136"/>
  <c r="C44" i="136"/>
  <c r="B44" i="136"/>
  <c r="G43" i="136"/>
  <c r="F43" i="136"/>
  <c r="E43" i="136"/>
  <c r="D43" i="136"/>
  <c r="C43" i="136"/>
  <c r="B43" i="136"/>
  <c r="G42" i="136"/>
  <c r="F42" i="136"/>
  <c r="E42" i="136"/>
  <c r="D42" i="136"/>
  <c r="C42" i="136"/>
  <c r="B42" i="136"/>
  <c r="G41" i="136"/>
  <c r="F41" i="136"/>
  <c r="E41" i="136"/>
  <c r="D41" i="136"/>
  <c r="C41" i="136"/>
  <c r="B41" i="136"/>
  <c r="G40" i="136"/>
  <c r="F40" i="136"/>
  <c r="E40" i="136"/>
  <c r="D40" i="136"/>
  <c r="C40" i="136"/>
  <c r="B40" i="136"/>
  <c r="G38" i="136"/>
  <c r="F38" i="136"/>
  <c r="E38" i="136"/>
  <c r="D38" i="136"/>
  <c r="C38" i="136"/>
  <c r="B38" i="136"/>
  <c r="G37" i="136"/>
  <c r="F37" i="136"/>
  <c r="E37" i="136"/>
  <c r="D37" i="136"/>
  <c r="C37" i="136"/>
  <c r="B37" i="136"/>
  <c r="G36" i="136"/>
  <c r="F36" i="136"/>
  <c r="E36" i="136"/>
  <c r="D36" i="136"/>
  <c r="C36" i="136"/>
  <c r="B36" i="136"/>
  <c r="G35" i="136"/>
  <c r="F35" i="136"/>
  <c r="E35" i="136"/>
  <c r="D35" i="136"/>
  <c r="C35" i="136"/>
  <c r="B35" i="136"/>
  <c r="G34" i="136"/>
  <c r="F34" i="136"/>
  <c r="E34" i="136"/>
  <c r="D34" i="136"/>
  <c r="C34" i="136"/>
  <c r="B34" i="136"/>
  <c r="G33" i="136"/>
  <c r="F33" i="136"/>
  <c r="E33" i="136"/>
  <c r="D33" i="136"/>
  <c r="C33" i="136"/>
  <c r="B33" i="136"/>
  <c r="G32" i="136"/>
  <c r="F32" i="136"/>
  <c r="E32" i="136"/>
  <c r="D32" i="136"/>
  <c r="C32" i="136"/>
  <c r="B32" i="136"/>
  <c r="G30" i="136"/>
  <c r="F30" i="136"/>
  <c r="E30" i="136"/>
  <c r="D30" i="136"/>
  <c r="C30" i="136"/>
  <c r="B30" i="136"/>
  <c r="G29" i="136"/>
  <c r="F29" i="136"/>
  <c r="E29" i="136"/>
  <c r="D29" i="136"/>
  <c r="C29" i="136"/>
  <c r="B29" i="136"/>
  <c r="G28" i="136"/>
  <c r="F28" i="136"/>
  <c r="E28" i="136"/>
  <c r="D28" i="136"/>
  <c r="C28" i="136"/>
  <c r="B28" i="136"/>
  <c r="G27" i="136"/>
  <c r="F27" i="136"/>
  <c r="E27" i="136"/>
  <c r="D27" i="136"/>
  <c r="C27" i="136"/>
  <c r="B27" i="136"/>
  <c r="G26" i="136"/>
  <c r="F26" i="136"/>
  <c r="E26" i="136"/>
  <c r="D26" i="136"/>
  <c r="C26" i="136"/>
  <c r="B26" i="136"/>
  <c r="G25" i="136"/>
  <c r="F25" i="136"/>
  <c r="E25" i="136"/>
  <c r="D25" i="136"/>
  <c r="C25" i="136"/>
  <c r="B25" i="136"/>
  <c r="G24" i="136"/>
  <c r="F24" i="136"/>
  <c r="E24" i="136"/>
  <c r="D24" i="136"/>
  <c r="C24" i="136"/>
  <c r="B24" i="136"/>
  <c r="G22" i="136"/>
  <c r="F22" i="136"/>
  <c r="E22" i="136"/>
  <c r="D22" i="136"/>
  <c r="C22" i="136"/>
  <c r="B22" i="136"/>
  <c r="G21" i="136"/>
  <c r="F21" i="136"/>
  <c r="E21" i="136"/>
  <c r="D21" i="136"/>
  <c r="C21" i="136"/>
  <c r="B21" i="136"/>
  <c r="G20" i="136"/>
  <c r="F20" i="136"/>
  <c r="E20" i="136"/>
  <c r="D20" i="136"/>
  <c r="C20" i="136"/>
  <c r="B20" i="136"/>
  <c r="G19" i="136"/>
  <c r="F19" i="136"/>
  <c r="E19" i="136"/>
  <c r="D19" i="136"/>
  <c r="C19" i="136"/>
  <c r="B19" i="136"/>
  <c r="G18" i="136"/>
  <c r="F18" i="136"/>
  <c r="E18" i="136"/>
  <c r="D18" i="136"/>
  <c r="C18" i="136"/>
  <c r="B18" i="136"/>
  <c r="G17" i="136"/>
  <c r="F17" i="136"/>
  <c r="E17" i="136"/>
  <c r="D17" i="136"/>
  <c r="C17" i="136"/>
  <c r="B17" i="136"/>
  <c r="G16" i="136"/>
  <c r="F16" i="136"/>
  <c r="E16" i="136"/>
  <c r="D16" i="136"/>
  <c r="C16" i="136"/>
  <c r="B16" i="136"/>
  <c r="G15" i="136"/>
  <c r="F15" i="136"/>
  <c r="E15" i="136"/>
  <c r="D15" i="136"/>
  <c r="C15" i="136"/>
  <c r="B15" i="136"/>
  <c r="G5" i="136"/>
  <c r="G7" i="136" s="1"/>
  <c r="F5" i="136"/>
  <c r="E5" i="136"/>
  <c r="D5" i="136"/>
  <c r="C5" i="136"/>
  <c r="C7" i="136" s="1"/>
  <c r="B5" i="136"/>
  <c r="G1" i="136"/>
  <c r="F1" i="136"/>
  <c r="E1" i="136"/>
  <c r="D1" i="136"/>
  <c r="C1" i="136"/>
  <c r="B1" i="136"/>
  <c r="G56" i="152" l="1"/>
  <c r="H46" i="152"/>
  <c r="O56" i="152"/>
  <c r="P46" i="152"/>
  <c r="K56" i="152"/>
  <c r="L46" i="152"/>
  <c r="C95" i="144"/>
  <c r="H97" i="144"/>
  <c r="I97" i="144" s="1"/>
  <c r="E95" i="144"/>
  <c r="C6" i="144"/>
  <c r="F95" i="144"/>
  <c r="D10" i="144"/>
  <c r="N16" i="89"/>
  <c r="G12" i="144"/>
  <c r="H12" i="144" s="1"/>
  <c r="I104" i="144"/>
  <c r="T10" i="90" s="1"/>
  <c r="T10" i="89"/>
  <c r="I85" i="144"/>
  <c r="I84" i="144" s="1"/>
  <c r="H84" i="144"/>
  <c r="H47" i="144"/>
  <c r="H52" i="144" s="1"/>
  <c r="F74" i="144"/>
  <c r="F6" i="146"/>
  <c r="C10" i="144"/>
  <c r="T12" i="89"/>
  <c r="G10" i="144"/>
  <c r="H10" i="144" s="1"/>
  <c r="D6" i="144"/>
  <c r="D30" i="90"/>
  <c r="G74" i="144"/>
  <c r="H74" i="144" s="1"/>
  <c r="I74" i="144" s="1"/>
  <c r="G6" i="146"/>
  <c r="B9" i="144"/>
  <c r="B6" i="146"/>
  <c r="G6" i="144"/>
  <c r="H6" i="144" s="1"/>
  <c r="C74" i="144"/>
  <c r="C6" i="146"/>
  <c r="C8" i="144"/>
  <c r="T9" i="89"/>
  <c r="H76" i="144"/>
  <c r="D74" i="144"/>
  <c r="D6" i="146"/>
  <c r="D8" i="144"/>
  <c r="I77" i="144"/>
  <c r="I76" i="144" s="1"/>
  <c r="E74" i="144"/>
  <c r="E6" i="146"/>
  <c r="G8" i="144"/>
  <c r="D95" i="144"/>
  <c r="T11" i="89"/>
  <c r="D75" i="136"/>
  <c r="D32" i="146"/>
  <c r="D11" i="136"/>
  <c r="F10" i="136"/>
  <c r="F32" i="146"/>
  <c r="E75" i="136"/>
  <c r="E32" i="146"/>
  <c r="D7" i="136"/>
  <c r="D13" i="136"/>
  <c r="B8" i="136"/>
  <c r="B32" i="146"/>
  <c r="C13" i="136"/>
  <c r="C32" i="146"/>
  <c r="G13" i="136"/>
  <c r="G32" i="146"/>
  <c r="D9" i="136"/>
  <c r="F7" i="144"/>
  <c r="B74" i="144"/>
  <c r="H20" i="144"/>
  <c r="T17" i="89" s="1"/>
  <c r="H115" i="144"/>
  <c r="E6" i="144"/>
  <c r="C7" i="144"/>
  <c r="G7" i="144"/>
  <c r="H7" i="144" s="1"/>
  <c r="I7" i="144" s="1"/>
  <c r="E8" i="144"/>
  <c r="C9" i="144"/>
  <c r="G9" i="144"/>
  <c r="H9" i="144" s="1"/>
  <c r="I9" i="144" s="1"/>
  <c r="E10" i="144"/>
  <c r="C11" i="144"/>
  <c r="G11" i="144"/>
  <c r="H11" i="144" s="1"/>
  <c r="I11" i="144" s="1"/>
  <c r="E12" i="144"/>
  <c r="F9" i="144"/>
  <c r="B11" i="144"/>
  <c r="I14" i="144"/>
  <c r="I20" i="144" s="1"/>
  <c r="B6" i="144"/>
  <c r="F6" i="144"/>
  <c r="D7" i="144"/>
  <c r="B8" i="144"/>
  <c r="F8" i="144"/>
  <c r="D9" i="144"/>
  <c r="B10" i="144"/>
  <c r="F10" i="144"/>
  <c r="D11" i="144"/>
  <c r="B12" i="144"/>
  <c r="F12" i="144"/>
  <c r="B7" i="144"/>
  <c r="F11" i="144"/>
  <c r="E7" i="144"/>
  <c r="E9" i="144"/>
  <c r="E11" i="144"/>
  <c r="I43" i="144"/>
  <c r="I44" i="144" s="1"/>
  <c r="H44" i="144"/>
  <c r="T21" i="89" s="1"/>
  <c r="I94" i="144"/>
  <c r="I95" i="144" s="1"/>
  <c r="H95" i="144"/>
  <c r="I61" i="144"/>
  <c r="I60" i="144" s="1"/>
  <c r="T23" i="90" s="1"/>
  <c r="H60" i="144"/>
  <c r="T23" i="89" s="1"/>
  <c r="I100" i="144"/>
  <c r="I101" i="144" s="1"/>
  <c r="H101" i="144"/>
  <c r="G95" i="144"/>
  <c r="I108" i="144"/>
  <c r="H24" i="144"/>
  <c r="T18" i="89" s="1"/>
  <c r="I36" i="144"/>
  <c r="T20" i="90" s="1"/>
  <c r="I68" i="144"/>
  <c r="T24" i="90" s="1"/>
  <c r="G101" i="144"/>
  <c r="H108" i="144"/>
  <c r="I125" i="144"/>
  <c r="H129" i="144"/>
  <c r="I130" i="144"/>
  <c r="I129" i="144" s="1"/>
  <c r="I24" i="144"/>
  <c r="T18" i="90" s="1"/>
  <c r="H36" i="144"/>
  <c r="T20" i="89" s="1"/>
  <c r="H68" i="144"/>
  <c r="T24" i="89" s="1"/>
  <c r="I115" i="144"/>
  <c r="H125" i="144"/>
  <c r="B10" i="136"/>
  <c r="B12" i="136"/>
  <c r="F75" i="136"/>
  <c r="E7" i="136"/>
  <c r="C8" i="136"/>
  <c r="G8" i="136"/>
  <c r="E9" i="136"/>
  <c r="C10" i="136"/>
  <c r="G10" i="136"/>
  <c r="E11" i="136"/>
  <c r="C12" i="136"/>
  <c r="G12" i="136"/>
  <c r="E13" i="136"/>
  <c r="C75" i="136"/>
  <c r="G75" i="136"/>
  <c r="F8" i="136"/>
  <c r="F12" i="136"/>
  <c r="B75" i="136"/>
  <c r="B7" i="136"/>
  <c r="F7" i="136"/>
  <c r="D8" i="136"/>
  <c r="B9" i="136"/>
  <c r="F9" i="136"/>
  <c r="D10" i="136"/>
  <c r="B11" i="136"/>
  <c r="F11" i="136"/>
  <c r="D12" i="136"/>
  <c r="B13" i="136"/>
  <c r="F13" i="136"/>
  <c r="E8" i="136"/>
  <c r="C9" i="136"/>
  <c r="G9" i="136"/>
  <c r="E10" i="136"/>
  <c r="C11" i="136"/>
  <c r="G11" i="136"/>
  <c r="E12" i="136"/>
  <c r="AE19" i="138"/>
  <c r="AD19" i="138"/>
  <c r="AC19" i="138"/>
  <c r="AB19" i="138"/>
  <c r="AA19" i="138"/>
  <c r="Z19" i="138"/>
  <c r="Y19" i="138"/>
  <c r="X19" i="138"/>
  <c r="W19" i="138"/>
  <c r="V19" i="138"/>
  <c r="M19" i="138"/>
  <c r="M16" i="138" s="1"/>
  <c r="H19" i="138"/>
  <c r="H16" i="138" s="1"/>
  <c r="G19" i="138"/>
  <c r="G16" i="138" s="1"/>
  <c r="D19" i="138"/>
  <c r="N15" i="138"/>
  <c r="S13" i="138"/>
  <c r="V8" i="138"/>
  <c r="M8" i="138"/>
  <c r="N7" i="138"/>
  <c r="N5" i="138"/>
  <c r="U4" i="138"/>
  <c r="AH4" i="138" s="1"/>
  <c r="AE19" i="137"/>
  <c r="AD19" i="137"/>
  <c r="AC19" i="137"/>
  <c r="AB19" i="137"/>
  <c r="AA19" i="137"/>
  <c r="Z19" i="137"/>
  <c r="Y19" i="137"/>
  <c r="X19" i="137"/>
  <c r="W19" i="137"/>
  <c r="V19" i="137"/>
  <c r="M19" i="137"/>
  <c r="H19" i="137"/>
  <c r="G19" i="137"/>
  <c r="G16" i="137" s="1"/>
  <c r="D19" i="137"/>
  <c r="M16" i="137"/>
  <c r="H16" i="137"/>
  <c r="N15" i="137"/>
  <c r="S13" i="137"/>
  <c r="V8" i="137"/>
  <c r="M8" i="137"/>
  <c r="N7" i="137"/>
  <c r="N5" i="137"/>
  <c r="U4" i="137"/>
  <c r="AH4" i="137" s="1"/>
  <c r="H142" i="136"/>
  <c r="I142" i="136" s="1"/>
  <c r="H141" i="136"/>
  <c r="I141" i="136" s="1"/>
  <c r="H140" i="136"/>
  <c r="I140" i="136" s="1"/>
  <c r="H139" i="136"/>
  <c r="I139" i="136" s="1"/>
  <c r="H132" i="136"/>
  <c r="I132" i="136" s="1"/>
  <c r="H131" i="136"/>
  <c r="H128" i="136"/>
  <c r="I128" i="136" s="1"/>
  <c r="H127" i="136"/>
  <c r="I127" i="136" s="1"/>
  <c r="H125" i="136"/>
  <c r="I125" i="136" s="1"/>
  <c r="H124" i="136"/>
  <c r="I124" i="136" s="1"/>
  <c r="H123" i="136"/>
  <c r="I123" i="136" s="1"/>
  <c r="H121" i="136"/>
  <c r="I121" i="136" s="1"/>
  <c r="H120" i="136"/>
  <c r="I120" i="136" s="1"/>
  <c r="H119" i="136"/>
  <c r="I119" i="136" s="1"/>
  <c r="H118" i="136"/>
  <c r="I118" i="136" s="1"/>
  <c r="H117" i="136"/>
  <c r="I117" i="136" s="1"/>
  <c r="H114" i="136"/>
  <c r="I114" i="136" s="1"/>
  <c r="H113" i="136"/>
  <c r="I113" i="136" s="1"/>
  <c r="H112" i="136"/>
  <c r="I112" i="136" s="1"/>
  <c r="H111" i="136"/>
  <c r="I111" i="136" s="1"/>
  <c r="H110" i="136"/>
  <c r="I110" i="136" s="1"/>
  <c r="H107" i="136"/>
  <c r="H106" i="136"/>
  <c r="H105" i="136"/>
  <c r="H104" i="136"/>
  <c r="H101" i="136"/>
  <c r="I101" i="136" s="1"/>
  <c r="I102" i="136" s="1"/>
  <c r="G102" i="136"/>
  <c r="F102" i="136"/>
  <c r="E102" i="136"/>
  <c r="D102" i="136"/>
  <c r="C102" i="136"/>
  <c r="B102" i="136"/>
  <c r="H98" i="136"/>
  <c r="I98" i="136" s="1"/>
  <c r="G99" i="136"/>
  <c r="F99" i="136"/>
  <c r="E99" i="136"/>
  <c r="D99" i="136"/>
  <c r="C99" i="136"/>
  <c r="B99" i="136"/>
  <c r="H95" i="136"/>
  <c r="I95" i="136" s="1"/>
  <c r="H94" i="136"/>
  <c r="I94" i="136" s="1"/>
  <c r="G96" i="136"/>
  <c r="F96" i="136"/>
  <c r="E96" i="136"/>
  <c r="D96" i="136"/>
  <c r="C96" i="136"/>
  <c r="B96" i="136"/>
  <c r="H92" i="136"/>
  <c r="I92" i="136" s="1"/>
  <c r="H90" i="136"/>
  <c r="I90" i="136" s="1"/>
  <c r="H88" i="136"/>
  <c r="I88" i="136" s="1"/>
  <c r="H86" i="136"/>
  <c r="I86" i="136" s="1"/>
  <c r="I85" i="136" s="1"/>
  <c r="H83" i="136"/>
  <c r="I83" i="136" s="1"/>
  <c r="H82" i="136"/>
  <c r="I82" i="136" s="1"/>
  <c r="H81" i="136"/>
  <c r="I81" i="136" s="1"/>
  <c r="H80" i="136"/>
  <c r="I80" i="136" s="1"/>
  <c r="H79" i="136"/>
  <c r="I79" i="136" s="1"/>
  <c r="H78" i="136"/>
  <c r="I78" i="136" s="1"/>
  <c r="H76" i="136"/>
  <c r="I76" i="136" s="1"/>
  <c r="H73" i="136"/>
  <c r="I73" i="136" s="1"/>
  <c r="H72" i="136"/>
  <c r="I72" i="136" s="1"/>
  <c r="H70" i="136"/>
  <c r="I70" i="136" s="1"/>
  <c r="H68" i="136"/>
  <c r="I68" i="136" s="1"/>
  <c r="H67" i="136"/>
  <c r="I67" i="136" s="1"/>
  <c r="H66" i="136"/>
  <c r="I66" i="136" s="1"/>
  <c r="H65" i="136"/>
  <c r="I65" i="136" s="1"/>
  <c r="H64" i="136"/>
  <c r="H62" i="136"/>
  <c r="I62" i="136" s="1"/>
  <c r="H60" i="136"/>
  <c r="I60" i="136" s="1"/>
  <c r="H59" i="136"/>
  <c r="I59" i="136" s="1"/>
  <c r="H58" i="136"/>
  <c r="I58" i="136" s="1"/>
  <c r="H57" i="136"/>
  <c r="I57" i="136" s="1"/>
  <c r="H56" i="136"/>
  <c r="H54" i="136"/>
  <c r="I54" i="136" s="1"/>
  <c r="H52" i="136"/>
  <c r="I52" i="136" s="1"/>
  <c r="H51" i="136"/>
  <c r="I51" i="136" s="1"/>
  <c r="H50" i="136"/>
  <c r="I50" i="136" s="1"/>
  <c r="H49" i="136"/>
  <c r="I49" i="136" s="1"/>
  <c r="H48" i="136"/>
  <c r="H46" i="136"/>
  <c r="I46" i="136" s="1"/>
  <c r="H44" i="136"/>
  <c r="I44" i="136" s="1"/>
  <c r="H43" i="136"/>
  <c r="I43" i="136" s="1"/>
  <c r="H42" i="136"/>
  <c r="I42" i="136" s="1"/>
  <c r="H41" i="136"/>
  <c r="I41" i="136" s="1"/>
  <c r="H40" i="136"/>
  <c r="H38" i="136"/>
  <c r="I38" i="136" s="1"/>
  <c r="H36" i="136"/>
  <c r="I36" i="136" s="1"/>
  <c r="H35" i="136"/>
  <c r="I35" i="136" s="1"/>
  <c r="H34" i="136"/>
  <c r="I34" i="136" s="1"/>
  <c r="H33" i="136"/>
  <c r="I33" i="136" s="1"/>
  <c r="H32" i="136"/>
  <c r="H30" i="136"/>
  <c r="I30" i="136" s="1"/>
  <c r="H29" i="136"/>
  <c r="I29" i="136" s="1"/>
  <c r="H28" i="136"/>
  <c r="I28" i="136" s="1"/>
  <c r="H27" i="136"/>
  <c r="I27" i="136" s="1"/>
  <c r="H26" i="136"/>
  <c r="I26" i="136" s="1"/>
  <c r="H24" i="136"/>
  <c r="H22" i="136"/>
  <c r="I22" i="136" s="1"/>
  <c r="H20" i="136"/>
  <c r="I20" i="136" s="1"/>
  <c r="H19" i="136"/>
  <c r="I19" i="136" s="1"/>
  <c r="H18" i="136"/>
  <c r="I18" i="136" s="1"/>
  <c r="H17" i="136"/>
  <c r="I17" i="136" s="1"/>
  <c r="H16" i="136"/>
  <c r="I16" i="136" s="1"/>
  <c r="H15" i="136"/>
  <c r="H75" i="136"/>
  <c r="I75" i="136" s="1"/>
  <c r="H60" i="152" l="1"/>
  <c r="D56" i="152"/>
  <c r="E46" i="152"/>
  <c r="E56" i="152" s="1"/>
  <c r="L56" i="152"/>
  <c r="M46" i="152"/>
  <c r="Q46" i="152"/>
  <c r="P56" i="152"/>
  <c r="I46" i="152"/>
  <c r="I56" i="152" s="1"/>
  <c r="H56" i="152"/>
  <c r="I4" i="144"/>
  <c r="AF23" i="90" s="1"/>
  <c r="AF17" i="89"/>
  <c r="D17" i="89" s="1"/>
  <c r="N13" i="89"/>
  <c r="E13" i="89" s="1"/>
  <c r="I12" i="144"/>
  <c r="AF24" i="89"/>
  <c r="I10" i="144"/>
  <c r="AF22" i="89"/>
  <c r="AG4" i="137"/>
  <c r="AF23" i="89"/>
  <c r="C23" i="89" s="1"/>
  <c r="AG4" i="138"/>
  <c r="AF21" i="89"/>
  <c r="T21" i="90"/>
  <c r="T17" i="90"/>
  <c r="I47" i="144"/>
  <c r="T22" i="89"/>
  <c r="AF18" i="89"/>
  <c r="I32" i="136"/>
  <c r="I37" i="136" s="1"/>
  <c r="I48" i="136"/>
  <c r="I53" i="136" s="1"/>
  <c r="I64" i="136"/>
  <c r="I105" i="136"/>
  <c r="T10" i="138" s="1"/>
  <c r="T10" i="137"/>
  <c r="I106" i="136"/>
  <c r="T11" i="138" s="1"/>
  <c r="T11" i="137"/>
  <c r="I24" i="136"/>
  <c r="I40" i="136"/>
  <c r="I45" i="136" s="1"/>
  <c r="I56" i="136"/>
  <c r="I61" i="136" s="1"/>
  <c r="I107" i="136"/>
  <c r="T12" i="138" s="1"/>
  <c r="T12" i="137"/>
  <c r="T17" i="137"/>
  <c r="H85" i="136"/>
  <c r="I104" i="136"/>
  <c r="T9" i="138" s="1"/>
  <c r="T9" i="137"/>
  <c r="I6" i="144"/>
  <c r="H8" i="144"/>
  <c r="AF20" i="89" s="1"/>
  <c r="H77" i="136"/>
  <c r="H116" i="136"/>
  <c r="I15" i="136"/>
  <c r="H21" i="136"/>
  <c r="H45" i="136"/>
  <c r="T21" i="137" s="1"/>
  <c r="H7" i="136"/>
  <c r="H8" i="136"/>
  <c r="I8" i="136" s="1"/>
  <c r="H10" i="136"/>
  <c r="I10" i="136" s="1"/>
  <c r="H11" i="136"/>
  <c r="H12" i="136"/>
  <c r="I12" i="136" s="1"/>
  <c r="H13" i="136"/>
  <c r="I13" i="136" s="1"/>
  <c r="H53" i="136"/>
  <c r="T22" i="137" s="1"/>
  <c r="I77" i="136"/>
  <c r="H96" i="136"/>
  <c r="I109" i="136"/>
  <c r="H5" i="136"/>
  <c r="I5" i="136" s="1"/>
  <c r="H25" i="136"/>
  <c r="T18" i="137" s="1"/>
  <c r="H61" i="136"/>
  <c r="T23" i="137" s="1"/>
  <c r="I69" i="136"/>
  <c r="H109" i="136"/>
  <c r="I126" i="136"/>
  <c r="H130" i="136"/>
  <c r="I131" i="136"/>
  <c r="I130" i="136" s="1"/>
  <c r="H37" i="136"/>
  <c r="T20" i="137" s="1"/>
  <c r="H69" i="136"/>
  <c r="T24" i="137" s="1"/>
  <c r="I96" i="136"/>
  <c r="H102" i="136"/>
  <c r="I116" i="136"/>
  <c r="H126" i="136"/>
  <c r="L32" i="135"/>
  <c r="K32" i="135"/>
  <c r="J32" i="135"/>
  <c r="I32" i="135"/>
  <c r="H32" i="135"/>
  <c r="G32" i="135"/>
  <c r="F32" i="135"/>
  <c r="E32" i="135"/>
  <c r="D32" i="135"/>
  <c r="C32" i="135"/>
  <c r="B32" i="135"/>
  <c r="L32" i="134"/>
  <c r="K32" i="134"/>
  <c r="J32" i="134"/>
  <c r="I32" i="134"/>
  <c r="H32" i="134"/>
  <c r="G32" i="134"/>
  <c r="F32" i="134"/>
  <c r="E32" i="134"/>
  <c r="D32" i="134"/>
  <c r="C32" i="134"/>
  <c r="B32" i="134"/>
  <c r="L32" i="133"/>
  <c r="K32" i="133"/>
  <c r="J32" i="133"/>
  <c r="I32" i="133"/>
  <c r="H32" i="133"/>
  <c r="G32" i="133"/>
  <c r="F32" i="133"/>
  <c r="E32" i="133"/>
  <c r="D32" i="133"/>
  <c r="C32" i="133"/>
  <c r="B32" i="133"/>
  <c r="L32" i="132"/>
  <c r="K32" i="132"/>
  <c r="J32" i="132"/>
  <c r="I32" i="132"/>
  <c r="H32" i="132"/>
  <c r="G32" i="132"/>
  <c r="F32" i="132"/>
  <c r="E32" i="132"/>
  <c r="D32" i="132"/>
  <c r="C32" i="132"/>
  <c r="B32" i="132"/>
  <c r="L32" i="131"/>
  <c r="K32" i="131"/>
  <c r="J32" i="131"/>
  <c r="I32" i="131"/>
  <c r="H32" i="131"/>
  <c r="G32" i="131"/>
  <c r="F32" i="131"/>
  <c r="E32" i="131"/>
  <c r="D32" i="131"/>
  <c r="C32" i="131"/>
  <c r="B32" i="131"/>
  <c r="G128" i="130"/>
  <c r="F128" i="130"/>
  <c r="E128" i="130"/>
  <c r="D128" i="130"/>
  <c r="C128" i="130"/>
  <c r="B128" i="130"/>
  <c r="G127" i="130"/>
  <c r="F127" i="130"/>
  <c r="E127" i="130"/>
  <c r="D127" i="130"/>
  <c r="C127" i="130"/>
  <c r="B127" i="130"/>
  <c r="G126" i="130"/>
  <c r="F126" i="130"/>
  <c r="E126" i="130"/>
  <c r="D126" i="130"/>
  <c r="C126" i="130"/>
  <c r="B126" i="130"/>
  <c r="G125" i="130"/>
  <c r="H125" i="130" s="1"/>
  <c r="I125" i="130" s="1"/>
  <c r="F125" i="130"/>
  <c r="E125" i="130"/>
  <c r="D125" i="130"/>
  <c r="C125" i="130"/>
  <c r="B125" i="130"/>
  <c r="G124" i="130"/>
  <c r="H124" i="130" s="1"/>
  <c r="I124" i="130" s="1"/>
  <c r="F124" i="130"/>
  <c r="E124" i="130"/>
  <c r="D124" i="130"/>
  <c r="C124" i="130"/>
  <c r="B124" i="130"/>
  <c r="G123" i="130"/>
  <c r="F123" i="130"/>
  <c r="E123" i="130"/>
  <c r="D123" i="130"/>
  <c r="C123" i="130"/>
  <c r="B123" i="130"/>
  <c r="G121" i="130"/>
  <c r="F121" i="130"/>
  <c r="E121" i="130"/>
  <c r="D121" i="130"/>
  <c r="C121" i="130"/>
  <c r="B121" i="130"/>
  <c r="G120" i="130"/>
  <c r="F120" i="130"/>
  <c r="E120" i="130"/>
  <c r="D120" i="130"/>
  <c r="C120" i="130"/>
  <c r="B120" i="130"/>
  <c r="G119" i="130"/>
  <c r="H119" i="130" s="1"/>
  <c r="I119" i="130" s="1"/>
  <c r="F119" i="130"/>
  <c r="E119" i="130"/>
  <c r="D119" i="130"/>
  <c r="C119" i="130"/>
  <c r="B119" i="130"/>
  <c r="G118" i="130"/>
  <c r="F118" i="130"/>
  <c r="E118" i="130"/>
  <c r="D118" i="130"/>
  <c r="C118" i="130"/>
  <c r="B118" i="130"/>
  <c r="G117" i="130"/>
  <c r="F117" i="130"/>
  <c r="E117" i="130"/>
  <c r="D117" i="130"/>
  <c r="C117" i="130"/>
  <c r="B117" i="130"/>
  <c r="G116" i="130"/>
  <c r="F116" i="130"/>
  <c r="E116" i="130"/>
  <c r="D116" i="130"/>
  <c r="C116" i="130"/>
  <c r="B116" i="130"/>
  <c r="G114" i="130"/>
  <c r="H114" i="130" s="1"/>
  <c r="I114" i="130" s="1"/>
  <c r="F114" i="130"/>
  <c r="E114" i="130"/>
  <c r="D114" i="130"/>
  <c r="C114" i="130"/>
  <c r="B114" i="130"/>
  <c r="G113" i="130"/>
  <c r="F113" i="130"/>
  <c r="E113" i="130"/>
  <c r="D113" i="130"/>
  <c r="C113" i="130"/>
  <c r="B113" i="130"/>
  <c r="G112" i="130"/>
  <c r="F112" i="130"/>
  <c r="E112" i="130"/>
  <c r="D112" i="130"/>
  <c r="C112" i="130"/>
  <c r="B112" i="130"/>
  <c r="G111" i="130"/>
  <c r="H111" i="130" s="1"/>
  <c r="I111" i="130" s="1"/>
  <c r="F111" i="130"/>
  <c r="E111" i="130"/>
  <c r="D111" i="130"/>
  <c r="C111" i="130"/>
  <c r="B111" i="130"/>
  <c r="G110" i="130"/>
  <c r="H110" i="130" s="1"/>
  <c r="I110" i="130" s="1"/>
  <c r="F110" i="130"/>
  <c r="E110" i="130"/>
  <c r="D110" i="130"/>
  <c r="C110" i="130"/>
  <c r="B110" i="130"/>
  <c r="G109" i="130"/>
  <c r="F109" i="130"/>
  <c r="E109" i="130"/>
  <c r="D109" i="130"/>
  <c r="C109" i="130"/>
  <c r="B109" i="130"/>
  <c r="G107" i="130"/>
  <c r="H107" i="130" s="1"/>
  <c r="F107" i="130"/>
  <c r="E107" i="130"/>
  <c r="D107" i="130"/>
  <c r="C107" i="130"/>
  <c r="B107" i="130"/>
  <c r="H106" i="130"/>
  <c r="G105" i="130"/>
  <c r="H105" i="130" s="1"/>
  <c r="I105" i="130" s="1"/>
  <c r="T10" i="128" s="1"/>
  <c r="F105" i="130"/>
  <c r="E105" i="130"/>
  <c r="D105" i="130"/>
  <c r="C105" i="130"/>
  <c r="B105" i="130"/>
  <c r="G104" i="130"/>
  <c r="F104" i="130"/>
  <c r="E104" i="130"/>
  <c r="D104" i="130"/>
  <c r="C104" i="130"/>
  <c r="B104" i="130"/>
  <c r="G101" i="130"/>
  <c r="H101" i="130" s="1"/>
  <c r="I101" i="130" s="1"/>
  <c r="I102" i="130" s="1"/>
  <c r="F101" i="130"/>
  <c r="E101" i="130"/>
  <c r="D101" i="130"/>
  <c r="D102" i="130" s="1"/>
  <c r="C101" i="130"/>
  <c r="C102" i="130" s="1"/>
  <c r="B101" i="130"/>
  <c r="B102" i="130" s="1"/>
  <c r="G98" i="130"/>
  <c r="H98" i="130" s="1"/>
  <c r="I98" i="130" s="1"/>
  <c r="F98" i="130"/>
  <c r="F99" i="130" s="1"/>
  <c r="E98" i="130"/>
  <c r="D98" i="130"/>
  <c r="C98" i="130"/>
  <c r="B98" i="130"/>
  <c r="B99" i="130" s="1"/>
  <c r="G95" i="130"/>
  <c r="H95" i="130" s="1"/>
  <c r="I95" i="130" s="1"/>
  <c r="F95" i="130"/>
  <c r="E95" i="130"/>
  <c r="D95" i="130"/>
  <c r="C95" i="130"/>
  <c r="B95" i="130"/>
  <c r="G94" i="130"/>
  <c r="F94" i="130"/>
  <c r="E94" i="130"/>
  <c r="D94" i="130"/>
  <c r="C94" i="130"/>
  <c r="B94" i="130"/>
  <c r="G90" i="130"/>
  <c r="H90" i="130" s="1"/>
  <c r="I90" i="130" s="1"/>
  <c r="F90" i="130"/>
  <c r="E90" i="130"/>
  <c r="D90" i="130"/>
  <c r="C90" i="130"/>
  <c r="B90" i="130"/>
  <c r="G88" i="130"/>
  <c r="H88" i="130" s="1"/>
  <c r="I88" i="130" s="1"/>
  <c r="F88" i="130"/>
  <c r="E88" i="130"/>
  <c r="D88" i="130"/>
  <c r="C88" i="130"/>
  <c r="B88" i="130"/>
  <c r="G86" i="130"/>
  <c r="H86" i="130" s="1"/>
  <c r="F86" i="130"/>
  <c r="E86" i="130"/>
  <c r="D86" i="130"/>
  <c r="C86" i="130"/>
  <c r="B86" i="130"/>
  <c r="G85" i="130"/>
  <c r="F85" i="130"/>
  <c r="E85" i="130"/>
  <c r="D85" i="130"/>
  <c r="C85" i="130"/>
  <c r="B85" i="130"/>
  <c r="G83" i="130"/>
  <c r="H83" i="130" s="1"/>
  <c r="I83" i="130" s="1"/>
  <c r="F83" i="130"/>
  <c r="E83" i="130"/>
  <c r="D83" i="130"/>
  <c r="C83" i="130"/>
  <c r="B83" i="130"/>
  <c r="G82" i="130"/>
  <c r="F82" i="130"/>
  <c r="E82" i="130"/>
  <c r="D82" i="130"/>
  <c r="C82" i="130"/>
  <c r="B82" i="130"/>
  <c r="G81" i="130"/>
  <c r="H81" i="130" s="1"/>
  <c r="I81" i="130" s="1"/>
  <c r="F81" i="130"/>
  <c r="E81" i="130"/>
  <c r="D81" i="130"/>
  <c r="C81" i="130"/>
  <c r="B81" i="130"/>
  <c r="G80" i="130"/>
  <c r="F80" i="130"/>
  <c r="E80" i="130"/>
  <c r="D80" i="130"/>
  <c r="C80" i="130"/>
  <c r="B80" i="130"/>
  <c r="G79" i="130"/>
  <c r="H79" i="130" s="1"/>
  <c r="I79" i="130" s="1"/>
  <c r="F79" i="130"/>
  <c r="E79" i="130"/>
  <c r="D79" i="130"/>
  <c r="C79" i="130"/>
  <c r="B79" i="130"/>
  <c r="G78" i="130"/>
  <c r="H78" i="130" s="1"/>
  <c r="I78" i="130" s="1"/>
  <c r="F78" i="130"/>
  <c r="E78" i="130"/>
  <c r="D78" i="130"/>
  <c r="C78" i="130"/>
  <c r="B78" i="130"/>
  <c r="G77" i="130"/>
  <c r="F77" i="130"/>
  <c r="E77" i="130"/>
  <c r="D77" i="130"/>
  <c r="C77" i="130"/>
  <c r="B77" i="130"/>
  <c r="G73" i="130"/>
  <c r="F73" i="130"/>
  <c r="E73" i="130"/>
  <c r="D73" i="130"/>
  <c r="C73" i="130"/>
  <c r="B73" i="130"/>
  <c r="G72" i="130"/>
  <c r="H72" i="130" s="1"/>
  <c r="I72" i="130" s="1"/>
  <c r="F72" i="130"/>
  <c r="E72" i="130"/>
  <c r="D72" i="130"/>
  <c r="C72" i="130"/>
  <c r="B72" i="130"/>
  <c r="G70" i="130"/>
  <c r="F70" i="130"/>
  <c r="E70" i="130"/>
  <c r="D70" i="130"/>
  <c r="C70" i="130"/>
  <c r="B70" i="130"/>
  <c r="G69" i="130"/>
  <c r="F69" i="130"/>
  <c r="E69" i="130"/>
  <c r="D69" i="130"/>
  <c r="C69" i="130"/>
  <c r="B69" i="130"/>
  <c r="G68" i="130"/>
  <c r="F68" i="130"/>
  <c r="E68" i="130"/>
  <c r="D68" i="130"/>
  <c r="C68" i="130"/>
  <c r="B68" i="130"/>
  <c r="G67" i="130"/>
  <c r="F67" i="130"/>
  <c r="E67" i="130"/>
  <c r="D67" i="130"/>
  <c r="C67" i="130"/>
  <c r="B67" i="130"/>
  <c r="G66" i="130"/>
  <c r="H66" i="130" s="1"/>
  <c r="I66" i="130" s="1"/>
  <c r="F66" i="130"/>
  <c r="E66" i="130"/>
  <c r="D66" i="130"/>
  <c r="C66" i="130"/>
  <c r="B66" i="130"/>
  <c r="G65" i="130"/>
  <c r="H65" i="130" s="1"/>
  <c r="F65" i="130"/>
  <c r="E65" i="130"/>
  <c r="D65" i="130"/>
  <c r="C65" i="130"/>
  <c r="B65" i="130"/>
  <c r="G64" i="130"/>
  <c r="F64" i="130"/>
  <c r="E64" i="130"/>
  <c r="D64" i="130"/>
  <c r="C64" i="130"/>
  <c r="B64" i="130"/>
  <c r="H58" i="130"/>
  <c r="I58" i="130" s="1"/>
  <c r="G54" i="130"/>
  <c r="F54" i="130"/>
  <c r="E54" i="130"/>
  <c r="D54" i="130"/>
  <c r="C54" i="130"/>
  <c r="B54" i="130"/>
  <c r="G53" i="130"/>
  <c r="F53" i="130"/>
  <c r="E53" i="130"/>
  <c r="D53" i="130"/>
  <c r="C53" i="130"/>
  <c r="G52" i="130"/>
  <c r="F52" i="130"/>
  <c r="E52" i="130"/>
  <c r="D52" i="130"/>
  <c r="C52" i="130"/>
  <c r="B52" i="130"/>
  <c r="G51" i="130"/>
  <c r="F51" i="130"/>
  <c r="E51" i="130"/>
  <c r="D51" i="130"/>
  <c r="C51" i="130"/>
  <c r="B51" i="130"/>
  <c r="G50" i="130"/>
  <c r="H50" i="130" s="1"/>
  <c r="I50" i="130" s="1"/>
  <c r="F50" i="130"/>
  <c r="E50" i="130"/>
  <c r="D50" i="130"/>
  <c r="C50" i="130"/>
  <c r="B50" i="130"/>
  <c r="G49" i="130"/>
  <c r="H49" i="130" s="1"/>
  <c r="F49" i="130"/>
  <c r="E49" i="130"/>
  <c r="D49" i="130"/>
  <c r="C49" i="130"/>
  <c r="B49" i="130"/>
  <c r="G48" i="130"/>
  <c r="H48" i="130" s="1"/>
  <c r="I48" i="130" s="1"/>
  <c r="F48" i="130"/>
  <c r="E48" i="130"/>
  <c r="D48" i="130"/>
  <c r="C48" i="130"/>
  <c r="B48" i="130"/>
  <c r="G46" i="130"/>
  <c r="F46" i="130"/>
  <c r="E46" i="130"/>
  <c r="D46" i="130"/>
  <c r="C46" i="130"/>
  <c r="B46" i="130"/>
  <c r="G45" i="130"/>
  <c r="F45" i="130"/>
  <c r="E45" i="130"/>
  <c r="D45" i="130"/>
  <c r="C45" i="130"/>
  <c r="B45" i="130"/>
  <c r="G44" i="130"/>
  <c r="H44" i="130" s="1"/>
  <c r="I44" i="130" s="1"/>
  <c r="F44" i="130"/>
  <c r="E44" i="130"/>
  <c r="D44" i="130"/>
  <c r="C44" i="130"/>
  <c r="B44" i="130"/>
  <c r="G43" i="130"/>
  <c r="H43" i="130" s="1"/>
  <c r="I43" i="130" s="1"/>
  <c r="F43" i="130"/>
  <c r="E43" i="130"/>
  <c r="D43" i="130"/>
  <c r="C43" i="130"/>
  <c r="B43" i="130"/>
  <c r="G42" i="130"/>
  <c r="H42" i="130" s="1"/>
  <c r="I42" i="130" s="1"/>
  <c r="F42" i="130"/>
  <c r="E42" i="130"/>
  <c r="D42" i="130"/>
  <c r="C42" i="130"/>
  <c r="B42" i="130"/>
  <c r="G41" i="130"/>
  <c r="H41" i="130" s="1"/>
  <c r="I41" i="130" s="1"/>
  <c r="F41" i="130"/>
  <c r="E41" i="130"/>
  <c r="D41" i="130"/>
  <c r="C41" i="130"/>
  <c r="B41" i="130"/>
  <c r="G40" i="130"/>
  <c r="H40" i="130" s="1"/>
  <c r="I40" i="130" s="1"/>
  <c r="F40" i="130"/>
  <c r="E40" i="130"/>
  <c r="D40" i="130"/>
  <c r="C40" i="130"/>
  <c r="B40" i="130"/>
  <c r="G38" i="130"/>
  <c r="F38" i="130"/>
  <c r="E38" i="130"/>
  <c r="D38" i="130"/>
  <c r="C38" i="130"/>
  <c r="B38" i="130"/>
  <c r="G37" i="130"/>
  <c r="F37" i="130"/>
  <c r="E37" i="130"/>
  <c r="D37" i="130"/>
  <c r="C37" i="130"/>
  <c r="B37" i="130"/>
  <c r="G36" i="130"/>
  <c r="H36" i="130" s="1"/>
  <c r="I36" i="130" s="1"/>
  <c r="F36" i="130"/>
  <c r="E36" i="130"/>
  <c r="D36" i="130"/>
  <c r="C36" i="130"/>
  <c r="B36" i="130"/>
  <c r="G35" i="130"/>
  <c r="H35" i="130" s="1"/>
  <c r="I35" i="130" s="1"/>
  <c r="F35" i="130"/>
  <c r="E35" i="130"/>
  <c r="D35" i="130"/>
  <c r="C35" i="130"/>
  <c r="B35" i="130"/>
  <c r="G34" i="130"/>
  <c r="H34" i="130" s="1"/>
  <c r="I34" i="130" s="1"/>
  <c r="F34" i="130"/>
  <c r="E34" i="130"/>
  <c r="D34" i="130"/>
  <c r="C34" i="130"/>
  <c r="B34" i="130"/>
  <c r="G33" i="130"/>
  <c r="H33" i="130" s="1"/>
  <c r="I33" i="130" s="1"/>
  <c r="F33" i="130"/>
  <c r="E33" i="130"/>
  <c r="D33" i="130"/>
  <c r="C33" i="130"/>
  <c r="B33" i="130"/>
  <c r="G32" i="130"/>
  <c r="H32" i="130" s="1"/>
  <c r="I32" i="130" s="1"/>
  <c r="F32" i="130"/>
  <c r="E32" i="130"/>
  <c r="D32" i="130"/>
  <c r="C32" i="130"/>
  <c r="B32" i="130"/>
  <c r="G30" i="130"/>
  <c r="F30" i="130"/>
  <c r="E30" i="130"/>
  <c r="D30" i="130"/>
  <c r="C30" i="130"/>
  <c r="B30" i="130"/>
  <c r="G29" i="130"/>
  <c r="H29" i="130" s="1"/>
  <c r="I29" i="130" s="1"/>
  <c r="F29" i="130"/>
  <c r="E29" i="130"/>
  <c r="D29" i="130"/>
  <c r="C29" i="130"/>
  <c r="B29" i="130"/>
  <c r="G28" i="130"/>
  <c r="H28" i="130" s="1"/>
  <c r="I28" i="130" s="1"/>
  <c r="F28" i="130"/>
  <c r="E28" i="130"/>
  <c r="D28" i="130"/>
  <c r="C28" i="130"/>
  <c r="B28" i="130"/>
  <c r="G27" i="130"/>
  <c r="H27" i="130" s="1"/>
  <c r="I27" i="130" s="1"/>
  <c r="F27" i="130"/>
  <c r="E27" i="130"/>
  <c r="D27" i="130"/>
  <c r="C27" i="130"/>
  <c r="B27" i="130"/>
  <c r="G26" i="130"/>
  <c r="H26" i="130" s="1"/>
  <c r="I26" i="130" s="1"/>
  <c r="F26" i="130"/>
  <c r="E26" i="130"/>
  <c r="D26" i="130"/>
  <c r="C26" i="130"/>
  <c r="B26" i="130"/>
  <c r="G25" i="130"/>
  <c r="F25" i="130"/>
  <c r="E25" i="130"/>
  <c r="D25" i="130"/>
  <c r="C25" i="130"/>
  <c r="B25" i="130"/>
  <c r="G24" i="130"/>
  <c r="H24" i="130" s="1"/>
  <c r="I24" i="130" s="1"/>
  <c r="F24" i="130"/>
  <c r="E24" i="130"/>
  <c r="D24" i="130"/>
  <c r="C24" i="130"/>
  <c r="B24" i="130"/>
  <c r="G22" i="130"/>
  <c r="F22" i="130"/>
  <c r="E22" i="130"/>
  <c r="D22" i="130"/>
  <c r="C22" i="130"/>
  <c r="B22" i="130"/>
  <c r="G21" i="130"/>
  <c r="F21" i="130"/>
  <c r="E21" i="130"/>
  <c r="D21" i="130"/>
  <c r="C21" i="130"/>
  <c r="B21" i="130"/>
  <c r="G20" i="130"/>
  <c r="H20" i="130" s="1"/>
  <c r="I20" i="130" s="1"/>
  <c r="F20" i="130"/>
  <c r="E20" i="130"/>
  <c r="D20" i="130"/>
  <c r="C20" i="130"/>
  <c r="B20" i="130"/>
  <c r="G19" i="130"/>
  <c r="F19" i="130"/>
  <c r="E19" i="130"/>
  <c r="D19" i="130"/>
  <c r="C19" i="130"/>
  <c r="B19" i="130"/>
  <c r="G18" i="130"/>
  <c r="H18" i="130" s="1"/>
  <c r="I18" i="130" s="1"/>
  <c r="F18" i="130"/>
  <c r="E18" i="130"/>
  <c r="D18" i="130"/>
  <c r="C18" i="130"/>
  <c r="B18" i="130"/>
  <c r="G17" i="130"/>
  <c r="H17" i="130" s="1"/>
  <c r="F17" i="130"/>
  <c r="E17" i="130"/>
  <c r="D17" i="130"/>
  <c r="C17" i="130"/>
  <c r="B17" i="130"/>
  <c r="G16" i="130"/>
  <c r="F16" i="130"/>
  <c r="E16" i="130"/>
  <c r="D16" i="130"/>
  <c r="C16" i="130"/>
  <c r="B16" i="130"/>
  <c r="G15" i="130"/>
  <c r="H15" i="130" s="1"/>
  <c r="F15" i="130"/>
  <c r="E15" i="130"/>
  <c r="D15" i="130"/>
  <c r="C15" i="130"/>
  <c r="B15" i="130"/>
  <c r="G5" i="130"/>
  <c r="F5" i="130"/>
  <c r="E5" i="130"/>
  <c r="D5" i="130"/>
  <c r="D11" i="130" s="1"/>
  <c r="C5" i="130"/>
  <c r="B5" i="130"/>
  <c r="G1" i="130"/>
  <c r="F1" i="130"/>
  <c r="E1" i="130"/>
  <c r="D1" i="130"/>
  <c r="C1" i="130"/>
  <c r="B1" i="130"/>
  <c r="H142" i="130"/>
  <c r="I142" i="130" s="1"/>
  <c r="H141" i="130"/>
  <c r="I141" i="130" s="1"/>
  <c r="H140" i="130"/>
  <c r="I140" i="130" s="1"/>
  <c r="H139" i="130"/>
  <c r="I139" i="130" s="1"/>
  <c r="H132" i="130"/>
  <c r="I132" i="130" s="1"/>
  <c r="H131" i="130"/>
  <c r="H128" i="130"/>
  <c r="I128" i="130" s="1"/>
  <c r="H127" i="130"/>
  <c r="I127" i="130" s="1"/>
  <c r="H123" i="130"/>
  <c r="I123" i="130" s="1"/>
  <c r="H121" i="130"/>
  <c r="I121" i="130" s="1"/>
  <c r="H120" i="130"/>
  <c r="I120" i="130" s="1"/>
  <c r="H118" i="130"/>
  <c r="I118" i="130" s="1"/>
  <c r="H117" i="130"/>
  <c r="I117" i="130" s="1"/>
  <c r="H113" i="130"/>
  <c r="I113" i="130" s="1"/>
  <c r="H112" i="130"/>
  <c r="I112" i="130" s="1"/>
  <c r="H104" i="130"/>
  <c r="I104" i="130" s="1"/>
  <c r="T9" i="128" s="1"/>
  <c r="F102" i="130"/>
  <c r="E102" i="130"/>
  <c r="E99" i="130"/>
  <c r="D99" i="130"/>
  <c r="C99" i="130"/>
  <c r="H94" i="130"/>
  <c r="I94" i="130" s="1"/>
  <c r="G96" i="130"/>
  <c r="H92" i="130"/>
  <c r="I92" i="130" s="1"/>
  <c r="H82" i="130"/>
  <c r="I82" i="130" s="1"/>
  <c r="H80" i="130"/>
  <c r="I80" i="130" s="1"/>
  <c r="H76" i="130"/>
  <c r="I76" i="130" s="1"/>
  <c r="H73" i="130"/>
  <c r="I73" i="130" s="1"/>
  <c r="H70" i="130"/>
  <c r="I70" i="130" s="1"/>
  <c r="H68" i="130"/>
  <c r="I68" i="130" s="1"/>
  <c r="H67" i="130"/>
  <c r="I67" i="130" s="1"/>
  <c r="H64" i="130"/>
  <c r="I64" i="130" s="1"/>
  <c r="H62" i="130"/>
  <c r="I62" i="130" s="1"/>
  <c r="H60" i="130"/>
  <c r="I60" i="130" s="1"/>
  <c r="H59" i="130"/>
  <c r="I59" i="130" s="1"/>
  <c r="H57" i="130"/>
  <c r="I57" i="130" s="1"/>
  <c r="H56" i="130"/>
  <c r="I56" i="130" s="1"/>
  <c r="H54" i="130"/>
  <c r="I54" i="130" s="1"/>
  <c r="H52" i="130"/>
  <c r="I52" i="130" s="1"/>
  <c r="H51" i="130"/>
  <c r="I51" i="130" s="1"/>
  <c r="H46" i="130"/>
  <c r="I46" i="130" s="1"/>
  <c r="H38" i="130"/>
  <c r="I38" i="130" s="1"/>
  <c r="H30" i="130"/>
  <c r="I30" i="130" s="1"/>
  <c r="H22" i="130"/>
  <c r="I22" i="130" s="1"/>
  <c r="H19" i="130"/>
  <c r="I19" i="130" s="1"/>
  <c r="H16" i="130"/>
  <c r="I16" i="130" s="1"/>
  <c r="AE19" i="129"/>
  <c r="AD19" i="129"/>
  <c r="AC19" i="129"/>
  <c r="AB19" i="129"/>
  <c r="AA19" i="129"/>
  <c r="Z19" i="129"/>
  <c r="Y19" i="129"/>
  <c r="X19" i="129"/>
  <c r="W19" i="129"/>
  <c r="V19" i="129"/>
  <c r="M19" i="129"/>
  <c r="H19" i="129"/>
  <c r="G19" i="129"/>
  <c r="G16" i="129" s="1"/>
  <c r="D19" i="129"/>
  <c r="M16" i="129"/>
  <c r="H16" i="129"/>
  <c r="N15" i="129"/>
  <c r="S13" i="129"/>
  <c r="V8" i="129"/>
  <c r="M8" i="129"/>
  <c r="N7" i="129"/>
  <c r="N5" i="129"/>
  <c r="AH4" i="129"/>
  <c r="U4" i="129"/>
  <c r="AG4" i="129" s="1"/>
  <c r="AE19" i="128"/>
  <c r="AD19" i="128"/>
  <c r="AC19" i="128"/>
  <c r="AB19" i="128"/>
  <c r="AA19" i="128"/>
  <c r="Z19" i="128"/>
  <c r="Y19" i="128"/>
  <c r="X19" i="128"/>
  <c r="W19" i="128"/>
  <c r="V19" i="128"/>
  <c r="M19" i="128"/>
  <c r="M16" i="128" s="1"/>
  <c r="H19" i="128"/>
  <c r="H16" i="128" s="1"/>
  <c r="G19" i="128"/>
  <c r="G16" i="128" s="1"/>
  <c r="D19" i="128"/>
  <c r="N15" i="128"/>
  <c r="S13" i="128"/>
  <c r="V8" i="128"/>
  <c r="M8" i="128"/>
  <c r="N7" i="128"/>
  <c r="N5" i="128"/>
  <c r="U4" i="128"/>
  <c r="AG4" i="128" s="1"/>
  <c r="L32" i="127"/>
  <c r="K32" i="127"/>
  <c r="J32" i="127"/>
  <c r="I32" i="127"/>
  <c r="H32" i="127"/>
  <c r="G32" i="127"/>
  <c r="F32" i="127"/>
  <c r="E32" i="127"/>
  <c r="D32" i="127"/>
  <c r="C32" i="127"/>
  <c r="B32" i="127"/>
  <c r="L32" i="126"/>
  <c r="K32" i="126"/>
  <c r="J32" i="126"/>
  <c r="I32" i="126"/>
  <c r="H32" i="126"/>
  <c r="G32" i="126"/>
  <c r="F32" i="126"/>
  <c r="E32" i="126"/>
  <c r="D32" i="126"/>
  <c r="C32" i="126"/>
  <c r="B32" i="126"/>
  <c r="L32" i="125"/>
  <c r="K32" i="125"/>
  <c r="J32" i="125"/>
  <c r="I32" i="125"/>
  <c r="H32" i="125"/>
  <c r="G32" i="125"/>
  <c r="F32" i="125"/>
  <c r="E32" i="125"/>
  <c r="D32" i="125"/>
  <c r="C32" i="125"/>
  <c r="B32" i="125"/>
  <c r="L32" i="124"/>
  <c r="K32" i="124"/>
  <c r="J32" i="124"/>
  <c r="I32" i="124"/>
  <c r="H32" i="124"/>
  <c r="G32" i="124"/>
  <c r="F32" i="124"/>
  <c r="E32" i="124"/>
  <c r="D32" i="124"/>
  <c r="C32" i="124"/>
  <c r="B32" i="124"/>
  <c r="L32" i="123"/>
  <c r="K32" i="123"/>
  <c r="J32" i="123"/>
  <c r="I32" i="123"/>
  <c r="H32" i="123"/>
  <c r="G32" i="123"/>
  <c r="F32" i="123"/>
  <c r="E32" i="123"/>
  <c r="D32" i="123"/>
  <c r="C32" i="123"/>
  <c r="B32" i="123"/>
  <c r="G128" i="120"/>
  <c r="F128" i="120"/>
  <c r="E128" i="120"/>
  <c r="D128" i="120"/>
  <c r="C128" i="120"/>
  <c r="B128" i="120"/>
  <c r="G127" i="120"/>
  <c r="F127" i="120"/>
  <c r="E127" i="120"/>
  <c r="D127" i="120"/>
  <c r="C127" i="120"/>
  <c r="B127" i="120"/>
  <c r="G126" i="120"/>
  <c r="F126" i="120"/>
  <c r="E126" i="120"/>
  <c r="D126" i="120"/>
  <c r="C126" i="120"/>
  <c r="B126" i="120"/>
  <c r="G125" i="120"/>
  <c r="F125" i="120"/>
  <c r="E125" i="120"/>
  <c r="D125" i="120"/>
  <c r="C125" i="120"/>
  <c r="B125" i="120"/>
  <c r="G124" i="120"/>
  <c r="F124" i="120"/>
  <c r="E124" i="120"/>
  <c r="D124" i="120"/>
  <c r="C124" i="120"/>
  <c r="B124" i="120"/>
  <c r="G123" i="120"/>
  <c r="F123" i="120"/>
  <c r="E123" i="120"/>
  <c r="D123" i="120"/>
  <c r="C123" i="120"/>
  <c r="B123" i="120"/>
  <c r="G121" i="120"/>
  <c r="H121" i="120" s="1"/>
  <c r="I121" i="120" s="1"/>
  <c r="F121" i="120"/>
  <c r="E121" i="120"/>
  <c r="D121" i="120"/>
  <c r="C121" i="120"/>
  <c r="B121" i="120"/>
  <c r="G120" i="120"/>
  <c r="F120" i="120"/>
  <c r="E120" i="120"/>
  <c r="D120" i="120"/>
  <c r="C120" i="120"/>
  <c r="B120" i="120"/>
  <c r="G119" i="120"/>
  <c r="F119" i="120"/>
  <c r="E119" i="120"/>
  <c r="D119" i="120"/>
  <c r="C119" i="120"/>
  <c r="B119" i="120"/>
  <c r="G118" i="120"/>
  <c r="F118" i="120"/>
  <c r="E118" i="120"/>
  <c r="D118" i="120"/>
  <c r="C118" i="120"/>
  <c r="B118" i="120"/>
  <c r="G117" i="120"/>
  <c r="H117" i="120" s="1"/>
  <c r="I117" i="120" s="1"/>
  <c r="F117" i="120"/>
  <c r="E117" i="120"/>
  <c r="D117" i="120"/>
  <c r="C117" i="120"/>
  <c r="B117" i="120"/>
  <c r="G116" i="120"/>
  <c r="F116" i="120"/>
  <c r="E116" i="120"/>
  <c r="D116" i="120"/>
  <c r="C116" i="120"/>
  <c r="B116" i="120"/>
  <c r="G114" i="120"/>
  <c r="H114" i="120" s="1"/>
  <c r="I114" i="120" s="1"/>
  <c r="F114" i="120"/>
  <c r="E114" i="120"/>
  <c r="D114" i="120"/>
  <c r="C114" i="120"/>
  <c r="B114" i="120"/>
  <c r="G113" i="120"/>
  <c r="F113" i="120"/>
  <c r="E113" i="120"/>
  <c r="D113" i="120"/>
  <c r="C113" i="120"/>
  <c r="B113" i="120"/>
  <c r="G112" i="120"/>
  <c r="F112" i="120"/>
  <c r="E112" i="120"/>
  <c r="D112" i="120"/>
  <c r="C112" i="120"/>
  <c r="B112" i="120"/>
  <c r="G111" i="120"/>
  <c r="F111" i="120"/>
  <c r="E111" i="120"/>
  <c r="D111" i="120"/>
  <c r="C111" i="120"/>
  <c r="B111" i="120"/>
  <c r="G110" i="120"/>
  <c r="H110" i="120" s="1"/>
  <c r="I110" i="120" s="1"/>
  <c r="F110" i="120"/>
  <c r="E110" i="120"/>
  <c r="D110" i="120"/>
  <c r="C110" i="120"/>
  <c r="B110" i="120"/>
  <c r="G109" i="120"/>
  <c r="F109" i="120"/>
  <c r="E109" i="120"/>
  <c r="D109" i="120"/>
  <c r="C109" i="120"/>
  <c r="B109" i="120"/>
  <c r="G107" i="120"/>
  <c r="H107" i="120" s="1"/>
  <c r="I107" i="120" s="1"/>
  <c r="T12" i="122" s="1"/>
  <c r="F107" i="120"/>
  <c r="E107" i="120"/>
  <c r="D107" i="120"/>
  <c r="C107" i="120"/>
  <c r="B107" i="120"/>
  <c r="G105" i="120"/>
  <c r="H105" i="120" s="1"/>
  <c r="F105" i="120"/>
  <c r="E105" i="120"/>
  <c r="D105" i="120"/>
  <c r="C105" i="120"/>
  <c r="B105" i="120"/>
  <c r="G104" i="120"/>
  <c r="F104" i="120"/>
  <c r="E104" i="120"/>
  <c r="D104" i="120"/>
  <c r="C104" i="120"/>
  <c r="B104" i="120"/>
  <c r="G101" i="120"/>
  <c r="H101" i="120" s="1"/>
  <c r="I101" i="120" s="1"/>
  <c r="I102" i="120" s="1"/>
  <c r="F101" i="120"/>
  <c r="F102" i="120" s="1"/>
  <c r="E101" i="120"/>
  <c r="D101" i="120"/>
  <c r="D102" i="120" s="1"/>
  <c r="C101" i="120"/>
  <c r="B101" i="120"/>
  <c r="G98" i="120"/>
  <c r="F98" i="120"/>
  <c r="F99" i="120" s="1"/>
  <c r="E98" i="120"/>
  <c r="E99" i="120" s="1"/>
  <c r="D98" i="120"/>
  <c r="D99" i="120" s="1"/>
  <c r="C98" i="120"/>
  <c r="B98" i="120"/>
  <c r="B99" i="120" s="1"/>
  <c r="G95" i="120"/>
  <c r="H95" i="120" s="1"/>
  <c r="I95" i="120" s="1"/>
  <c r="F95" i="120"/>
  <c r="E95" i="120"/>
  <c r="D95" i="120"/>
  <c r="C95" i="120"/>
  <c r="B95" i="120"/>
  <c r="G94" i="120"/>
  <c r="F94" i="120"/>
  <c r="E94" i="120"/>
  <c r="E96" i="120" s="1"/>
  <c r="D94" i="120"/>
  <c r="C94" i="120"/>
  <c r="B94" i="120"/>
  <c r="G90" i="120"/>
  <c r="H90" i="120" s="1"/>
  <c r="I90" i="120" s="1"/>
  <c r="F90" i="120"/>
  <c r="E90" i="120"/>
  <c r="D90" i="120"/>
  <c r="C90" i="120"/>
  <c r="B90" i="120"/>
  <c r="G88" i="120"/>
  <c r="F88" i="120"/>
  <c r="E88" i="120"/>
  <c r="D88" i="120"/>
  <c r="C88" i="120"/>
  <c r="B88" i="120"/>
  <c r="G86" i="120"/>
  <c r="H86" i="120" s="1"/>
  <c r="F86" i="120"/>
  <c r="E86" i="120"/>
  <c r="D86" i="120"/>
  <c r="C86" i="120"/>
  <c r="B86" i="120"/>
  <c r="G85" i="120"/>
  <c r="F85" i="120"/>
  <c r="E85" i="120"/>
  <c r="D85" i="120"/>
  <c r="C85" i="120"/>
  <c r="B85" i="120"/>
  <c r="G83" i="120"/>
  <c r="H83" i="120" s="1"/>
  <c r="I83" i="120" s="1"/>
  <c r="F83" i="120"/>
  <c r="E83" i="120"/>
  <c r="D83" i="120"/>
  <c r="C83" i="120"/>
  <c r="B83" i="120"/>
  <c r="G82" i="120"/>
  <c r="F82" i="120"/>
  <c r="E82" i="120"/>
  <c r="D82" i="120"/>
  <c r="C82" i="120"/>
  <c r="B82" i="120"/>
  <c r="G81" i="120"/>
  <c r="H81" i="120" s="1"/>
  <c r="I81" i="120" s="1"/>
  <c r="F81" i="120"/>
  <c r="E81" i="120"/>
  <c r="D81" i="120"/>
  <c r="C81" i="120"/>
  <c r="B81" i="120"/>
  <c r="G80" i="120"/>
  <c r="F80" i="120"/>
  <c r="E80" i="120"/>
  <c r="D80" i="120"/>
  <c r="C80" i="120"/>
  <c r="B80" i="120"/>
  <c r="G79" i="120"/>
  <c r="H79" i="120" s="1"/>
  <c r="I79" i="120" s="1"/>
  <c r="F79" i="120"/>
  <c r="E79" i="120"/>
  <c r="D79" i="120"/>
  <c r="C79" i="120"/>
  <c r="B79" i="120"/>
  <c r="G78" i="120"/>
  <c r="F78" i="120"/>
  <c r="E78" i="120"/>
  <c r="D78" i="120"/>
  <c r="C78" i="120"/>
  <c r="B78" i="120"/>
  <c r="G77" i="120"/>
  <c r="F77" i="120"/>
  <c r="E77" i="120"/>
  <c r="D77" i="120"/>
  <c r="C77" i="120"/>
  <c r="B77" i="120"/>
  <c r="G73" i="120"/>
  <c r="F73" i="120"/>
  <c r="E73" i="120"/>
  <c r="D73" i="120"/>
  <c r="C73" i="120"/>
  <c r="B73" i="120"/>
  <c r="G72" i="120"/>
  <c r="H72" i="120" s="1"/>
  <c r="I72" i="120" s="1"/>
  <c r="F72" i="120"/>
  <c r="E72" i="120"/>
  <c r="D72" i="120"/>
  <c r="C72" i="120"/>
  <c r="B72" i="120"/>
  <c r="G70" i="120"/>
  <c r="F70" i="120"/>
  <c r="E70" i="120"/>
  <c r="D70" i="120"/>
  <c r="C70" i="120"/>
  <c r="B70" i="120"/>
  <c r="G69" i="120"/>
  <c r="F69" i="120"/>
  <c r="E69" i="120"/>
  <c r="D69" i="120"/>
  <c r="C69" i="120"/>
  <c r="B69" i="120"/>
  <c r="G68" i="120"/>
  <c r="F68" i="120"/>
  <c r="E68" i="120"/>
  <c r="D68" i="120"/>
  <c r="C68" i="120"/>
  <c r="B68" i="120"/>
  <c r="G67" i="120"/>
  <c r="H67" i="120" s="1"/>
  <c r="I67" i="120" s="1"/>
  <c r="F67" i="120"/>
  <c r="E67" i="120"/>
  <c r="D67" i="120"/>
  <c r="C67" i="120"/>
  <c r="B67" i="120"/>
  <c r="G66" i="120"/>
  <c r="F66" i="120"/>
  <c r="E66" i="120"/>
  <c r="D66" i="120"/>
  <c r="C66" i="120"/>
  <c r="B66" i="120"/>
  <c r="G65" i="120"/>
  <c r="H65" i="120" s="1"/>
  <c r="F65" i="120"/>
  <c r="E65" i="120"/>
  <c r="D65" i="120"/>
  <c r="C65" i="120"/>
  <c r="B65" i="120"/>
  <c r="G64" i="120"/>
  <c r="F64" i="120"/>
  <c r="E64" i="120"/>
  <c r="D64" i="120"/>
  <c r="C64" i="120"/>
  <c r="B64" i="120"/>
  <c r="H58" i="120"/>
  <c r="I58" i="120" s="1"/>
  <c r="G54" i="120"/>
  <c r="H54" i="120" s="1"/>
  <c r="I54" i="120" s="1"/>
  <c r="F54" i="120"/>
  <c r="E54" i="120"/>
  <c r="D54" i="120"/>
  <c r="C54" i="120"/>
  <c r="B54" i="120"/>
  <c r="G53" i="120"/>
  <c r="F53" i="120"/>
  <c r="E53" i="120"/>
  <c r="D53" i="120"/>
  <c r="C53" i="120"/>
  <c r="G52" i="120"/>
  <c r="F52" i="120"/>
  <c r="E52" i="120"/>
  <c r="D52" i="120"/>
  <c r="C52" i="120"/>
  <c r="B52" i="120"/>
  <c r="G51" i="120"/>
  <c r="F51" i="120"/>
  <c r="E51" i="120"/>
  <c r="D51" i="120"/>
  <c r="C51" i="120"/>
  <c r="B51" i="120"/>
  <c r="G50" i="120"/>
  <c r="H50" i="120" s="1"/>
  <c r="I50" i="120" s="1"/>
  <c r="F50" i="120"/>
  <c r="E50" i="120"/>
  <c r="D50" i="120"/>
  <c r="C50" i="120"/>
  <c r="B50" i="120"/>
  <c r="G49" i="120"/>
  <c r="H49" i="120" s="1"/>
  <c r="I49" i="120" s="1"/>
  <c r="F49" i="120"/>
  <c r="E49" i="120"/>
  <c r="D49" i="120"/>
  <c r="C49" i="120"/>
  <c r="B49" i="120"/>
  <c r="G48" i="120"/>
  <c r="F48" i="120"/>
  <c r="E48" i="120"/>
  <c r="D48" i="120"/>
  <c r="C48" i="120"/>
  <c r="B48" i="120"/>
  <c r="G46" i="120"/>
  <c r="F46" i="120"/>
  <c r="E46" i="120"/>
  <c r="D46" i="120"/>
  <c r="C46" i="120"/>
  <c r="B46" i="120"/>
  <c r="G45" i="120"/>
  <c r="F45" i="120"/>
  <c r="E45" i="120"/>
  <c r="D45" i="120"/>
  <c r="C45" i="120"/>
  <c r="B45" i="120"/>
  <c r="G44" i="120"/>
  <c r="F44" i="120"/>
  <c r="E44" i="120"/>
  <c r="D44" i="120"/>
  <c r="C44" i="120"/>
  <c r="B44" i="120"/>
  <c r="G43" i="120"/>
  <c r="F43" i="120"/>
  <c r="E43" i="120"/>
  <c r="D43" i="120"/>
  <c r="C43" i="120"/>
  <c r="B43" i="120"/>
  <c r="G42" i="120"/>
  <c r="H42" i="120" s="1"/>
  <c r="I42" i="120" s="1"/>
  <c r="F42" i="120"/>
  <c r="E42" i="120"/>
  <c r="D42" i="120"/>
  <c r="C42" i="120"/>
  <c r="B42" i="120"/>
  <c r="G41" i="120"/>
  <c r="H41" i="120" s="1"/>
  <c r="I41" i="120" s="1"/>
  <c r="F41" i="120"/>
  <c r="E41" i="120"/>
  <c r="D41" i="120"/>
  <c r="C41" i="120"/>
  <c r="B41" i="120"/>
  <c r="G40" i="120"/>
  <c r="F40" i="120"/>
  <c r="E40" i="120"/>
  <c r="D40" i="120"/>
  <c r="C40" i="120"/>
  <c r="B40" i="120"/>
  <c r="G38" i="120"/>
  <c r="F38" i="120"/>
  <c r="E38" i="120"/>
  <c r="D38" i="120"/>
  <c r="C38" i="120"/>
  <c r="B38" i="120"/>
  <c r="G37" i="120"/>
  <c r="F37" i="120"/>
  <c r="E37" i="120"/>
  <c r="D37" i="120"/>
  <c r="C37" i="120"/>
  <c r="B37" i="120"/>
  <c r="G36" i="120"/>
  <c r="H36" i="120" s="1"/>
  <c r="I36" i="120" s="1"/>
  <c r="F36" i="120"/>
  <c r="E36" i="120"/>
  <c r="D36" i="120"/>
  <c r="C36" i="120"/>
  <c r="B36" i="120"/>
  <c r="G35" i="120"/>
  <c r="F35" i="120"/>
  <c r="E35" i="120"/>
  <c r="D35" i="120"/>
  <c r="C35" i="120"/>
  <c r="B35" i="120"/>
  <c r="G34" i="120"/>
  <c r="F34" i="120"/>
  <c r="E34" i="120"/>
  <c r="D34" i="120"/>
  <c r="C34" i="120"/>
  <c r="B34" i="120"/>
  <c r="G33" i="120"/>
  <c r="H33" i="120" s="1"/>
  <c r="I33" i="120" s="1"/>
  <c r="F33" i="120"/>
  <c r="E33" i="120"/>
  <c r="D33" i="120"/>
  <c r="C33" i="120"/>
  <c r="B33" i="120"/>
  <c r="G32" i="120"/>
  <c r="H32" i="120" s="1"/>
  <c r="I32" i="120" s="1"/>
  <c r="F32" i="120"/>
  <c r="E32" i="120"/>
  <c r="D32" i="120"/>
  <c r="C32" i="120"/>
  <c r="B32" i="120"/>
  <c r="G30" i="120"/>
  <c r="F30" i="120"/>
  <c r="E30" i="120"/>
  <c r="D30" i="120"/>
  <c r="C30" i="120"/>
  <c r="B30" i="120"/>
  <c r="G29" i="120"/>
  <c r="F29" i="120"/>
  <c r="E29" i="120"/>
  <c r="D29" i="120"/>
  <c r="C29" i="120"/>
  <c r="B29" i="120"/>
  <c r="G28" i="120"/>
  <c r="H28" i="120" s="1"/>
  <c r="I28" i="120" s="1"/>
  <c r="F28" i="120"/>
  <c r="E28" i="120"/>
  <c r="D28" i="120"/>
  <c r="C28" i="120"/>
  <c r="B28" i="120"/>
  <c r="G27" i="120"/>
  <c r="F27" i="120"/>
  <c r="E27" i="120"/>
  <c r="D27" i="120"/>
  <c r="C27" i="120"/>
  <c r="B27" i="120"/>
  <c r="G26" i="120"/>
  <c r="F26" i="120"/>
  <c r="E26" i="120"/>
  <c r="D26" i="120"/>
  <c r="C26" i="120"/>
  <c r="B26" i="120"/>
  <c r="G25" i="120"/>
  <c r="F25" i="120"/>
  <c r="E25" i="120"/>
  <c r="D25" i="120"/>
  <c r="C25" i="120"/>
  <c r="B25" i="120"/>
  <c r="G24" i="120"/>
  <c r="F24" i="120"/>
  <c r="E24" i="120"/>
  <c r="D24" i="120"/>
  <c r="C24" i="120"/>
  <c r="B24" i="120"/>
  <c r="G22" i="120"/>
  <c r="H22" i="120" s="1"/>
  <c r="I22" i="120" s="1"/>
  <c r="F22" i="120"/>
  <c r="E22" i="120"/>
  <c r="D22" i="120"/>
  <c r="C22" i="120"/>
  <c r="B22" i="120"/>
  <c r="G21" i="120"/>
  <c r="F21" i="120"/>
  <c r="E21" i="120"/>
  <c r="D21" i="120"/>
  <c r="C21" i="120"/>
  <c r="B21" i="120"/>
  <c r="G20" i="120"/>
  <c r="F20" i="120"/>
  <c r="E20" i="120"/>
  <c r="D20" i="120"/>
  <c r="C20" i="120"/>
  <c r="B20" i="120"/>
  <c r="G19" i="120"/>
  <c r="F19" i="120"/>
  <c r="E19" i="120"/>
  <c r="D19" i="120"/>
  <c r="C19" i="120"/>
  <c r="B19" i="120"/>
  <c r="G18" i="120"/>
  <c r="H18" i="120" s="1"/>
  <c r="I18" i="120" s="1"/>
  <c r="F18" i="120"/>
  <c r="E18" i="120"/>
  <c r="D18" i="120"/>
  <c r="C18" i="120"/>
  <c r="B18" i="120"/>
  <c r="G17" i="120"/>
  <c r="H17" i="120" s="1"/>
  <c r="F17" i="120"/>
  <c r="E17" i="120"/>
  <c r="D17" i="120"/>
  <c r="C17" i="120"/>
  <c r="B17" i="120"/>
  <c r="G16" i="120"/>
  <c r="H16" i="120" s="1"/>
  <c r="I16" i="120" s="1"/>
  <c r="F16" i="120"/>
  <c r="E16" i="120"/>
  <c r="D16" i="120"/>
  <c r="C16" i="120"/>
  <c r="B16" i="120"/>
  <c r="G15" i="120"/>
  <c r="F15" i="120"/>
  <c r="E15" i="120"/>
  <c r="D15" i="120"/>
  <c r="C15" i="120"/>
  <c r="B15" i="120"/>
  <c r="G11" i="120"/>
  <c r="C7" i="120"/>
  <c r="G5" i="120"/>
  <c r="G9" i="120" s="1"/>
  <c r="F5" i="120"/>
  <c r="E5" i="120"/>
  <c r="D5" i="120"/>
  <c r="D13" i="120" s="1"/>
  <c r="C5" i="120"/>
  <c r="C11" i="120" s="1"/>
  <c r="B5" i="120"/>
  <c r="G1" i="120"/>
  <c r="F1" i="120"/>
  <c r="E1" i="120"/>
  <c r="D1" i="120"/>
  <c r="C1" i="120"/>
  <c r="B1" i="120"/>
  <c r="AE19" i="122"/>
  <c r="AD19" i="122"/>
  <c r="AC19" i="122"/>
  <c r="AB19" i="122"/>
  <c r="AA19" i="122"/>
  <c r="Z19" i="122"/>
  <c r="Y19" i="122"/>
  <c r="X19" i="122"/>
  <c r="W19" i="122"/>
  <c r="V19" i="122"/>
  <c r="M19" i="122"/>
  <c r="H19" i="122"/>
  <c r="H16" i="122" s="1"/>
  <c r="G19" i="122"/>
  <c r="G16" i="122" s="1"/>
  <c r="D19" i="122"/>
  <c r="M16" i="122"/>
  <c r="N15" i="122"/>
  <c r="S13" i="122"/>
  <c r="V8" i="122"/>
  <c r="M8" i="122"/>
  <c r="N7" i="122"/>
  <c r="N5" i="122"/>
  <c r="U4" i="122"/>
  <c r="AG4" i="122" s="1"/>
  <c r="AE19" i="121"/>
  <c r="AD19" i="121"/>
  <c r="AC19" i="121"/>
  <c r="AB19" i="121"/>
  <c r="AA19" i="121"/>
  <c r="Z19" i="121"/>
  <c r="Y19" i="121"/>
  <c r="X19" i="121"/>
  <c r="W19" i="121"/>
  <c r="V19" i="121"/>
  <c r="M19" i="121"/>
  <c r="M16" i="121" s="1"/>
  <c r="H19" i="121"/>
  <c r="H16" i="121" s="1"/>
  <c r="G19" i="121"/>
  <c r="G16" i="121" s="1"/>
  <c r="D19" i="121"/>
  <c r="N15" i="121"/>
  <c r="S13" i="121"/>
  <c r="V8" i="121"/>
  <c r="M8" i="121"/>
  <c r="N7" i="121"/>
  <c r="N5" i="121"/>
  <c r="U4" i="121"/>
  <c r="AH4" i="121" s="1"/>
  <c r="H142" i="120"/>
  <c r="I142" i="120" s="1"/>
  <c r="H141" i="120"/>
  <c r="I141" i="120" s="1"/>
  <c r="H140" i="120"/>
  <c r="I140" i="120" s="1"/>
  <c r="H139" i="120"/>
  <c r="I139" i="120" s="1"/>
  <c r="H132" i="120"/>
  <c r="I132" i="120" s="1"/>
  <c r="H131" i="120"/>
  <c r="H128" i="120"/>
  <c r="I128" i="120" s="1"/>
  <c r="H127" i="120"/>
  <c r="I127" i="120" s="1"/>
  <c r="H125" i="120"/>
  <c r="I125" i="120" s="1"/>
  <c r="H124" i="120"/>
  <c r="I124" i="120" s="1"/>
  <c r="H123" i="120"/>
  <c r="I123" i="120" s="1"/>
  <c r="H120" i="120"/>
  <c r="I120" i="120" s="1"/>
  <c r="H119" i="120"/>
  <c r="I119" i="120" s="1"/>
  <c r="H118" i="120"/>
  <c r="I118" i="120" s="1"/>
  <c r="H113" i="120"/>
  <c r="I113" i="120" s="1"/>
  <c r="H112" i="120"/>
  <c r="I112" i="120" s="1"/>
  <c r="H111" i="120"/>
  <c r="I111" i="120" s="1"/>
  <c r="H106" i="120"/>
  <c r="I106" i="120" s="1"/>
  <c r="T11" i="122" s="1"/>
  <c r="H104" i="120"/>
  <c r="I104" i="120" s="1"/>
  <c r="T9" i="122" s="1"/>
  <c r="E102" i="120"/>
  <c r="C102" i="120"/>
  <c r="B102" i="120"/>
  <c r="H98" i="120"/>
  <c r="I98" i="120" s="1"/>
  <c r="G99" i="120"/>
  <c r="C99" i="120"/>
  <c r="H94" i="120"/>
  <c r="I94" i="120" s="1"/>
  <c r="G96" i="120"/>
  <c r="H92" i="120"/>
  <c r="I92" i="120" s="1"/>
  <c r="H88" i="120"/>
  <c r="I88" i="120" s="1"/>
  <c r="H82" i="120"/>
  <c r="I82" i="120" s="1"/>
  <c r="H80" i="120"/>
  <c r="I80" i="120" s="1"/>
  <c r="H78" i="120"/>
  <c r="I76" i="120"/>
  <c r="H76" i="120"/>
  <c r="H73" i="120"/>
  <c r="I73" i="120" s="1"/>
  <c r="H70" i="120"/>
  <c r="I70" i="120" s="1"/>
  <c r="H68" i="120"/>
  <c r="I68" i="120" s="1"/>
  <c r="H66" i="120"/>
  <c r="I66" i="120" s="1"/>
  <c r="H64" i="120"/>
  <c r="I64" i="120" s="1"/>
  <c r="H62" i="120"/>
  <c r="I62" i="120" s="1"/>
  <c r="H60" i="120"/>
  <c r="I60" i="120" s="1"/>
  <c r="H59" i="120"/>
  <c r="I59" i="120" s="1"/>
  <c r="H57" i="120"/>
  <c r="I57" i="120" s="1"/>
  <c r="H56" i="120"/>
  <c r="I56" i="120" s="1"/>
  <c r="H52" i="120"/>
  <c r="I52" i="120" s="1"/>
  <c r="H51" i="120"/>
  <c r="I51" i="120" s="1"/>
  <c r="H48" i="120"/>
  <c r="I48" i="120" s="1"/>
  <c r="H46" i="120"/>
  <c r="I46" i="120" s="1"/>
  <c r="H44" i="120"/>
  <c r="I44" i="120" s="1"/>
  <c r="H43" i="120"/>
  <c r="I43" i="120" s="1"/>
  <c r="H40" i="120"/>
  <c r="I40" i="120" s="1"/>
  <c r="H38" i="120"/>
  <c r="I38" i="120" s="1"/>
  <c r="H35" i="120"/>
  <c r="I35" i="120" s="1"/>
  <c r="H34" i="120"/>
  <c r="I34" i="120" s="1"/>
  <c r="H30" i="120"/>
  <c r="I30" i="120" s="1"/>
  <c r="H29" i="120"/>
  <c r="I29" i="120" s="1"/>
  <c r="H27" i="120"/>
  <c r="I27" i="120" s="1"/>
  <c r="H26" i="120"/>
  <c r="I26" i="120" s="1"/>
  <c r="H24" i="120"/>
  <c r="I24" i="120" s="1"/>
  <c r="H20" i="120"/>
  <c r="I20" i="120" s="1"/>
  <c r="H19" i="120"/>
  <c r="I19" i="120" s="1"/>
  <c r="H15" i="120"/>
  <c r="E57" i="152" l="1"/>
  <c r="F57" i="152" s="1"/>
  <c r="G57" i="152" s="1"/>
  <c r="H57" i="152" s="1"/>
  <c r="I57" i="152" s="1"/>
  <c r="J57" i="152" s="1"/>
  <c r="K57" i="152" s="1"/>
  <c r="L57" i="152" s="1"/>
  <c r="R46" i="152"/>
  <c r="Q56" i="152"/>
  <c r="N46" i="152"/>
  <c r="N56" i="152" s="1"/>
  <c r="M56" i="152"/>
  <c r="I60" i="152"/>
  <c r="AF21" i="90"/>
  <c r="L21" i="90" s="1"/>
  <c r="AF24" i="90"/>
  <c r="I24" i="90" s="1"/>
  <c r="AF18" i="90"/>
  <c r="J18" i="90" s="1"/>
  <c r="K17" i="89"/>
  <c r="F23" i="90"/>
  <c r="J23" i="90"/>
  <c r="K23" i="90"/>
  <c r="N16" i="90"/>
  <c r="N13" i="90" s="1"/>
  <c r="J13" i="90" s="1"/>
  <c r="AF22" i="90"/>
  <c r="F17" i="89"/>
  <c r="E17" i="89"/>
  <c r="I17" i="89"/>
  <c r="L17" i="89"/>
  <c r="J17" i="89"/>
  <c r="L23" i="89"/>
  <c r="K13" i="89"/>
  <c r="C17" i="89"/>
  <c r="K22" i="89"/>
  <c r="E23" i="90"/>
  <c r="I23" i="90"/>
  <c r="C23" i="90"/>
  <c r="G7" i="120"/>
  <c r="I8" i="144"/>
  <c r="AF20" i="90" s="1"/>
  <c r="K20" i="90" s="1"/>
  <c r="C13" i="120"/>
  <c r="C96" i="120"/>
  <c r="G102" i="130"/>
  <c r="L13" i="89"/>
  <c r="C13" i="89"/>
  <c r="J13" i="89"/>
  <c r="D13" i="89"/>
  <c r="F13" i="89"/>
  <c r="L23" i="90"/>
  <c r="I106" i="130"/>
  <c r="T11" i="128" s="1"/>
  <c r="T11" i="129"/>
  <c r="AH4" i="128"/>
  <c r="C96" i="130"/>
  <c r="L20" i="89"/>
  <c r="K20" i="89"/>
  <c r="J20" i="89"/>
  <c r="I20" i="89"/>
  <c r="E20" i="89"/>
  <c r="C20" i="89"/>
  <c r="F20" i="89"/>
  <c r="F23" i="89"/>
  <c r="I21" i="89"/>
  <c r="E21" i="89"/>
  <c r="K21" i="89"/>
  <c r="F21" i="89"/>
  <c r="J21" i="89"/>
  <c r="L21" i="89"/>
  <c r="C21" i="89"/>
  <c r="K18" i="90"/>
  <c r="C18" i="90"/>
  <c r="AG4" i="121"/>
  <c r="AH4" i="122"/>
  <c r="G99" i="130"/>
  <c r="K18" i="89"/>
  <c r="J18" i="89"/>
  <c r="F18" i="89"/>
  <c r="C18" i="89"/>
  <c r="L18" i="89"/>
  <c r="E18" i="89"/>
  <c r="I18" i="89"/>
  <c r="G102" i="120"/>
  <c r="E96" i="130"/>
  <c r="E23" i="89"/>
  <c r="I52" i="144"/>
  <c r="T22" i="90" s="1"/>
  <c r="L22" i="89"/>
  <c r="E22" i="89"/>
  <c r="I22" i="89"/>
  <c r="C22" i="89"/>
  <c r="J22" i="89"/>
  <c r="F22" i="89"/>
  <c r="T9" i="129"/>
  <c r="K23" i="89"/>
  <c r="I23" i="89"/>
  <c r="L24" i="90"/>
  <c r="E24" i="90"/>
  <c r="AF17" i="90"/>
  <c r="I17" i="90" s="1"/>
  <c r="J23" i="89"/>
  <c r="L24" i="89"/>
  <c r="C24" i="89"/>
  <c r="J24" i="89"/>
  <c r="I24" i="89"/>
  <c r="K24" i="89"/>
  <c r="E24" i="89"/>
  <c r="F24" i="89"/>
  <c r="I17" i="120"/>
  <c r="I65" i="120"/>
  <c r="I69" i="120" s="1"/>
  <c r="I105" i="120"/>
  <c r="T10" i="122" s="1"/>
  <c r="T10" i="121"/>
  <c r="T12" i="121"/>
  <c r="B75" i="120"/>
  <c r="B95" i="146"/>
  <c r="F13" i="120"/>
  <c r="F95" i="146"/>
  <c r="B96" i="120"/>
  <c r="F96" i="120"/>
  <c r="D96" i="120"/>
  <c r="T9" i="121"/>
  <c r="D75" i="120"/>
  <c r="D95" i="146"/>
  <c r="D9" i="120"/>
  <c r="T11" i="121"/>
  <c r="E75" i="120"/>
  <c r="E95" i="146"/>
  <c r="D7" i="120"/>
  <c r="C75" i="120"/>
  <c r="C95" i="146"/>
  <c r="G75" i="120"/>
  <c r="H75" i="120" s="1"/>
  <c r="I75" i="120" s="1"/>
  <c r="G95" i="146"/>
  <c r="C9" i="120"/>
  <c r="D11" i="120"/>
  <c r="G13" i="120"/>
  <c r="I17" i="130"/>
  <c r="I49" i="130"/>
  <c r="I65" i="130"/>
  <c r="I69" i="130" s="1"/>
  <c r="I86" i="130"/>
  <c r="I85" i="130" s="1"/>
  <c r="H85" i="130"/>
  <c r="I107" i="130"/>
  <c r="T12" i="128" s="1"/>
  <c r="T12" i="129"/>
  <c r="D7" i="130"/>
  <c r="B13" i="130"/>
  <c r="B83" i="146"/>
  <c r="B96" i="130"/>
  <c r="D96" i="130"/>
  <c r="D75" i="130"/>
  <c r="D83" i="146"/>
  <c r="E75" i="130"/>
  <c r="E83" i="146"/>
  <c r="D9" i="130"/>
  <c r="F75" i="130"/>
  <c r="F83" i="146"/>
  <c r="F96" i="130"/>
  <c r="C13" i="130"/>
  <c r="C83" i="146"/>
  <c r="G13" i="130"/>
  <c r="H13" i="130" s="1"/>
  <c r="I13" i="130" s="1"/>
  <c r="G83" i="146"/>
  <c r="D13" i="130"/>
  <c r="T10" i="129"/>
  <c r="T20" i="129"/>
  <c r="AF17" i="137"/>
  <c r="D17" i="137" s="1"/>
  <c r="D16" i="137" s="1"/>
  <c r="N16" i="137"/>
  <c r="AF18" i="137"/>
  <c r="K18" i="137" s="1"/>
  <c r="AF21" i="137"/>
  <c r="AF23" i="137"/>
  <c r="E23" i="137" s="1"/>
  <c r="AF24" i="137"/>
  <c r="T23" i="138"/>
  <c r="I11" i="136"/>
  <c r="AF22" i="138" s="1"/>
  <c r="AF22" i="137"/>
  <c r="J22" i="137" s="1"/>
  <c r="T22" i="138"/>
  <c r="I25" i="136"/>
  <c r="T18" i="138" s="1"/>
  <c r="I21" i="136"/>
  <c r="T17" i="138" s="1"/>
  <c r="T21" i="138"/>
  <c r="T24" i="138"/>
  <c r="T20" i="138"/>
  <c r="I7" i="136"/>
  <c r="H9" i="136"/>
  <c r="AF20" i="137" s="1"/>
  <c r="F8" i="130"/>
  <c r="F10" i="130"/>
  <c r="B75" i="130"/>
  <c r="H77" i="130"/>
  <c r="H116" i="130"/>
  <c r="E7" i="130"/>
  <c r="C8" i="130"/>
  <c r="G8" i="130"/>
  <c r="H8" i="130" s="1"/>
  <c r="I8" i="130" s="1"/>
  <c r="E9" i="130"/>
  <c r="C10" i="130"/>
  <c r="G10" i="130"/>
  <c r="H10" i="130" s="1"/>
  <c r="I10" i="130" s="1"/>
  <c r="E11" i="130"/>
  <c r="C12" i="130"/>
  <c r="G12" i="130"/>
  <c r="H12" i="130" s="1"/>
  <c r="I12" i="130" s="1"/>
  <c r="E13" i="130"/>
  <c r="C75" i="130"/>
  <c r="G75" i="130"/>
  <c r="H75" i="130" s="1"/>
  <c r="I75" i="130" s="1"/>
  <c r="B8" i="130"/>
  <c r="B10" i="130"/>
  <c r="B12" i="130"/>
  <c r="B7" i="130"/>
  <c r="F7" i="130"/>
  <c r="D8" i="130"/>
  <c r="B9" i="130"/>
  <c r="F9" i="130"/>
  <c r="D10" i="130"/>
  <c r="B11" i="130"/>
  <c r="F11" i="130"/>
  <c r="D12" i="130"/>
  <c r="F13" i="130"/>
  <c r="F12" i="130"/>
  <c r="C7" i="130"/>
  <c r="G7" i="130"/>
  <c r="H7" i="130" s="1"/>
  <c r="E8" i="130"/>
  <c r="C9" i="130"/>
  <c r="G9" i="130"/>
  <c r="E10" i="130"/>
  <c r="C11" i="130"/>
  <c r="G11" i="130"/>
  <c r="H11" i="130" s="1"/>
  <c r="E12" i="130"/>
  <c r="I15" i="130"/>
  <c r="H21" i="130"/>
  <c r="T17" i="129" s="1"/>
  <c r="H45" i="130"/>
  <c r="T21" i="129" s="1"/>
  <c r="H53" i="130"/>
  <c r="T22" i="129" s="1"/>
  <c r="I61" i="130"/>
  <c r="T23" i="128" s="1"/>
  <c r="I77" i="130"/>
  <c r="H96" i="130"/>
  <c r="I109" i="130"/>
  <c r="H5" i="130"/>
  <c r="H25" i="130"/>
  <c r="T18" i="129" s="1"/>
  <c r="I37" i="130"/>
  <c r="T20" i="128" s="1"/>
  <c r="H61" i="130"/>
  <c r="T23" i="129" s="1"/>
  <c r="H109" i="130"/>
  <c r="I126" i="130"/>
  <c r="H130" i="130"/>
  <c r="I131" i="130"/>
  <c r="I130" i="130" s="1"/>
  <c r="I25" i="130"/>
  <c r="T18" i="128" s="1"/>
  <c r="H37" i="130"/>
  <c r="I45" i="130"/>
  <c r="T21" i="128" s="1"/>
  <c r="H69" i="130"/>
  <c r="T24" i="129" s="1"/>
  <c r="I96" i="130"/>
  <c r="H102" i="130"/>
  <c r="I116" i="130"/>
  <c r="H126" i="130"/>
  <c r="F10" i="120"/>
  <c r="F75" i="120"/>
  <c r="E7" i="120"/>
  <c r="C8" i="120"/>
  <c r="G8" i="120"/>
  <c r="H8" i="120" s="1"/>
  <c r="I8" i="120" s="1"/>
  <c r="E9" i="120"/>
  <c r="C10" i="120"/>
  <c r="G10" i="120"/>
  <c r="H10" i="120" s="1"/>
  <c r="I10" i="120" s="1"/>
  <c r="E11" i="120"/>
  <c r="C12" i="120"/>
  <c r="G12" i="120"/>
  <c r="H12" i="120" s="1"/>
  <c r="E13" i="120"/>
  <c r="F8" i="120"/>
  <c r="F12" i="120"/>
  <c r="B7" i="120"/>
  <c r="F7" i="120"/>
  <c r="D8" i="120"/>
  <c r="B9" i="120"/>
  <c r="F9" i="120"/>
  <c r="D10" i="120"/>
  <c r="B11" i="120"/>
  <c r="F11" i="120"/>
  <c r="D12" i="120"/>
  <c r="B13" i="120"/>
  <c r="B8" i="120"/>
  <c r="B10" i="120"/>
  <c r="B12" i="120"/>
  <c r="H116" i="120"/>
  <c r="E8" i="120"/>
  <c r="E10" i="120"/>
  <c r="E12" i="120"/>
  <c r="I15" i="120"/>
  <c r="H21" i="120"/>
  <c r="T17" i="121" s="1"/>
  <c r="H45" i="120"/>
  <c r="T21" i="121" s="1"/>
  <c r="H7" i="120"/>
  <c r="H11" i="120"/>
  <c r="H13" i="120"/>
  <c r="I13" i="120" s="1"/>
  <c r="H53" i="120"/>
  <c r="T22" i="121" s="1"/>
  <c r="I61" i="120"/>
  <c r="T23" i="122" s="1"/>
  <c r="H96" i="120"/>
  <c r="I109" i="120"/>
  <c r="I53" i="120"/>
  <c r="T22" i="122" s="1"/>
  <c r="I78" i="120"/>
  <c r="I77" i="120" s="1"/>
  <c r="H77" i="120"/>
  <c r="H5" i="120"/>
  <c r="H25" i="120"/>
  <c r="T18" i="121" s="1"/>
  <c r="I37" i="120"/>
  <c r="T20" i="122" s="1"/>
  <c r="H61" i="120"/>
  <c r="T23" i="121" s="1"/>
  <c r="I86" i="120"/>
  <c r="I85" i="120" s="1"/>
  <c r="H85" i="120"/>
  <c r="H109" i="120"/>
  <c r="I126" i="120"/>
  <c r="H130" i="120"/>
  <c r="I131" i="120"/>
  <c r="I130" i="120" s="1"/>
  <c r="I25" i="120"/>
  <c r="T18" i="122" s="1"/>
  <c r="H37" i="120"/>
  <c r="T20" i="121" s="1"/>
  <c r="I45" i="120"/>
  <c r="T21" i="122" s="1"/>
  <c r="H69" i="120"/>
  <c r="T24" i="121" s="1"/>
  <c r="I96" i="120"/>
  <c r="H102" i="120"/>
  <c r="I116" i="120"/>
  <c r="H126" i="120"/>
  <c r="L32" i="119"/>
  <c r="K32" i="119"/>
  <c r="J32" i="119"/>
  <c r="I32" i="119"/>
  <c r="H32" i="119"/>
  <c r="G32" i="119"/>
  <c r="F32" i="119"/>
  <c r="E32" i="119"/>
  <c r="D32" i="119"/>
  <c r="C32" i="119"/>
  <c r="B32" i="119"/>
  <c r="L32" i="118"/>
  <c r="K32" i="118"/>
  <c r="J32" i="118"/>
  <c r="I32" i="118"/>
  <c r="H32" i="118"/>
  <c r="G32" i="118"/>
  <c r="F32" i="118"/>
  <c r="E32" i="118"/>
  <c r="D32" i="118"/>
  <c r="C32" i="118"/>
  <c r="B32" i="118"/>
  <c r="L32" i="117"/>
  <c r="K32" i="117"/>
  <c r="J32" i="117"/>
  <c r="I32" i="117"/>
  <c r="H32" i="117"/>
  <c r="G32" i="117"/>
  <c r="F32" i="117"/>
  <c r="E32" i="117"/>
  <c r="D32" i="117"/>
  <c r="C32" i="117"/>
  <c r="B32" i="117"/>
  <c r="L32" i="116"/>
  <c r="K32" i="116"/>
  <c r="J32" i="116"/>
  <c r="I32" i="116"/>
  <c r="H32" i="116"/>
  <c r="G32" i="116"/>
  <c r="F32" i="116"/>
  <c r="E32" i="116"/>
  <c r="D32" i="116"/>
  <c r="C32" i="116"/>
  <c r="B32" i="116"/>
  <c r="L32" i="115"/>
  <c r="K32" i="115"/>
  <c r="J32" i="115"/>
  <c r="I32" i="115"/>
  <c r="H32" i="115"/>
  <c r="G32" i="115"/>
  <c r="F32" i="115"/>
  <c r="E32" i="115"/>
  <c r="D32" i="115"/>
  <c r="C32" i="115"/>
  <c r="B32" i="115"/>
  <c r="H62" i="112"/>
  <c r="I62" i="112" s="1"/>
  <c r="G128" i="112"/>
  <c r="F128" i="112"/>
  <c r="E128" i="112"/>
  <c r="D128" i="112"/>
  <c r="C128" i="112"/>
  <c r="B128" i="112"/>
  <c r="G127" i="112"/>
  <c r="F127" i="112"/>
  <c r="E127" i="112"/>
  <c r="D127" i="112"/>
  <c r="C127" i="112"/>
  <c r="B127" i="112"/>
  <c r="G126" i="112"/>
  <c r="F126" i="112"/>
  <c r="E126" i="112"/>
  <c r="D126" i="112"/>
  <c r="C126" i="112"/>
  <c r="B126" i="112"/>
  <c r="G125" i="112"/>
  <c r="H125" i="112" s="1"/>
  <c r="I125" i="112" s="1"/>
  <c r="F125" i="112"/>
  <c r="E125" i="112"/>
  <c r="D125" i="112"/>
  <c r="C125" i="112"/>
  <c r="B125" i="112"/>
  <c r="G124" i="112"/>
  <c r="F124" i="112"/>
  <c r="E124" i="112"/>
  <c r="D124" i="112"/>
  <c r="C124" i="112"/>
  <c r="B124" i="112"/>
  <c r="G123" i="112"/>
  <c r="F123" i="112"/>
  <c r="E123" i="112"/>
  <c r="D123" i="112"/>
  <c r="C123" i="112"/>
  <c r="B123" i="112"/>
  <c r="G121" i="112"/>
  <c r="F121" i="112"/>
  <c r="E121" i="112"/>
  <c r="D121" i="112"/>
  <c r="C121" i="112"/>
  <c r="B121" i="112"/>
  <c r="G120" i="112"/>
  <c r="H120" i="112" s="1"/>
  <c r="I120" i="112" s="1"/>
  <c r="F120" i="112"/>
  <c r="E120" i="112"/>
  <c r="D120" i="112"/>
  <c r="C120" i="112"/>
  <c r="B120" i="112"/>
  <c r="G119" i="112"/>
  <c r="F119" i="112"/>
  <c r="E119" i="112"/>
  <c r="D119" i="112"/>
  <c r="C119" i="112"/>
  <c r="B119" i="112"/>
  <c r="G118" i="112"/>
  <c r="F118" i="112"/>
  <c r="E118" i="112"/>
  <c r="D118" i="112"/>
  <c r="C118" i="112"/>
  <c r="B118" i="112"/>
  <c r="G117" i="112"/>
  <c r="F117" i="112"/>
  <c r="E117" i="112"/>
  <c r="D117" i="112"/>
  <c r="C117" i="112"/>
  <c r="B117" i="112"/>
  <c r="G116" i="112"/>
  <c r="F116" i="112"/>
  <c r="E116" i="112"/>
  <c r="D116" i="112"/>
  <c r="C116" i="112"/>
  <c r="B116" i="112"/>
  <c r="G114" i="112"/>
  <c r="F114" i="112"/>
  <c r="E114" i="112"/>
  <c r="D114" i="112"/>
  <c r="C114" i="112"/>
  <c r="B114" i="112"/>
  <c r="G113" i="112"/>
  <c r="F113" i="112"/>
  <c r="E113" i="112"/>
  <c r="D113" i="112"/>
  <c r="C113" i="112"/>
  <c r="B113" i="112"/>
  <c r="G112" i="112"/>
  <c r="F112" i="112"/>
  <c r="E112" i="112"/>
  <c r="D112" i="112"/>
  <c r="C112" i="112"/>
  <c r="B112" i="112"/>
  <c r="G111" i="112"/>
  <c r="H111" i="112" s="1"/>
  <c r="I111" i="112" s="1"/>
  <c r="F111" i="112"/>
  <c r="E111" i="112"/>
  <c r="D111" i="112"/>
  <c r="C111" i="112"/>
  <c r="B111" i="112"/>
  <c r="G110" i="112"/>
  <c r="F110" i="112"/>
  <c r="E110" i="112"/>
  <c r="D110" i="112"/>
  <c r="C110" i="112"/>
  <c r="B110" i="112"/>
  <c r="G109" i="112"/>
  <c r="F109" i="112"/>
  <c r="E109" i="112"/>
  <c r="D109" i="112"/>
  <c r="C109" i="112"/>
  <c r="B109" i="112"/>
  <c r="G107" i="112"/>
  <c r="F107" i="112"/>
  <c r="E107" i="112"/>
  <c r="D107" i="112"/>
  <c r="C107" i="112"/>
  <c r="B107" i="112"/>
  <c r="H106" i="112"/>
  <c r="I106" i="112" s="1"/>
  <c r="T11" i="114" s="1"/>
  <c r="G105" i="112"/>
  <c r="F105" i="112"/>
  <c r="E105" i="112"/>
  <c r="D105" i="112"/>
  <c r="C105" i="112"/>
  <c r="B105" i="112"/>
  <c r="G104" i="112"/>
  <c r="H104" i="112" s="1"/>
  <c r="I104" i="112" s="1"/>
  <c r="T9" i="114" s="1"/>
  <c r="F104" i="112"/>
  <c r="E104" i="112"/>
  <c r="D104" i="112"/>
  <c r="C104" i="112"/>
  <c r="B104" i="112"/>
  <c r="G101" i="112"/>
  <c r="F101" i="112"/>
  <c r="F102" i="112" s="1"/>
  <c r="E101" i="112"/>
  <c r="E102" i="112" s="1"/>
  <c r="D101" i="112"/>
  <c r="D102" i="112" s="1"/>
  <c r="C101" i="112"/>
  <c r="B101" i="112"/>
  <c r="G98" i="112"/>
  <c r="H98" i="112" s="1"/>
  <c r="I98" i="112" s="1"/>
  <c r="F98" i="112"/>
  <c r="F99" i="112" s="1"/>
  <c r="E98" i="112"/>
  <c r="D98" i="112"/>
  <c r="D99" i="112" s="1"/>
  <c r="C98" i="112"/>
  <c r="B98" i="112"/>
  <c r="B99" i="112" s="1"/>
  <c r="G95" i="112"/>
  <c r="F95" i="112"/>
  <c r="E95" i="112"/>
  <c r="E96" i="112" s="1"/>
  <c r="D95" i="112"/>
  <c r="C95" i="112"/>
  <c r="B95" i="112"/>
  <c r="G94" i="112"/>
  <c r="H94" i="112" s="1"/>
  <c r="I94" i="112" s="1"/>
  <c r="F94" i="112"/>
  <c r="E94" i="112"/>
  <c r="D94" i="112"/>
  <c r="C94" i="112"/>
  <c r="C96" i="112" s="1"/>
  <c r="B94" i="112"/>
  <c r="G90" i="112"/>
  <c r="F90" i="112"/>
  <c r="E90" i="112"/>
  <c r="D90" i="112"/>
  <c r="C90" i="112"/>
  <c r="B90" i="112"/>
  <c r="G88" i="112"/>
  <c r="F88" i="112"/>
  <c r="E88" i="112"/>
  <c r="D88" i="112"/>
  <c r="C88" i="112"/>
  <c r="B88" i="112"/>
  <c r="G86" i="112"/>
  <c r="F86" i="112"/>
  <c r="E86" i="112"/>
  <c r="D86" i="112"/>
  <c r="C86" i="112"/>
  <c r="B86" i="112"/>
  <c r="G85" i="112"/>
  <c r="F85" i="112"/>
  <c r="E85" i="112"/>
  <c r="D85" i="112"/>
  <c r="C85" i="112"/>
  <c r="B85" i="112"/>
  <c r="G83" i="112"/>
  <c r="F83" i="112"/>
  <c r="E83" i="112"/>
  <c r="D83" i="112"/>
  <c r="C83" i="112"/>
  <c r="B83" i="112"/>
  <c r="G82" i="112"/>
  <c r="H82" i="112" s="1"/>
  <c r="I82" i="112" s="1"/>
  <c r="F82" i="112"/>
  <c r="E82" i="112"/>
  <c r="D82" i="112"/>
  <c r="C82" i="112"/>
  <c r="B82" i="112"/>
  <c r="G81" i="112"/>
  <c r="F81" i="112"/>
  <c r="E81" i="112"/>
  <c r="D81" i="112"/>
  <c r="C81" i="112"/>
  <c r="B81" i="112"/>
  <c r="G80" i="112"/>
  <c r="H80" i="112" s="1"/>
  <c r="I80" i="112" s="1"/>
  <c r="F80" i="112"/>
  <c r="E80" i="112"/>
  <c r="D80" i="112"/>
  <c r="C80" i="112"/>
  <c r="B80" i="112"/>
  <c r="G79" i="112"/>
  <c r="F79" i="112"/>
  <c r="E79" i="112"/>
  <c r="D79" i="112"/>
  <c r="C79" i="112"/>
  <c r="B79" i="112"/>
  <c r="G78" i="112"/>
  <c r="H78" i="112" s="1"/>
  <c r="F78" i="112"/>
  <c r="E78" i="112"/>
  <c r="D78" i="112"/>
  <c r="C78" i="112"/>
  <c r="B78" i="112"/>
  <c r="G77" i="112"/>
  <c r="F77" i="112"/>
  <c r="E77" i="112"/>
  <c r="D77" i="112"/>
  <c r="C77" i="112"/>
  <c r="B77" i="112"/>
  <c r="G73" i="112"/>
  <c r="H73" i="112" s="1"/>
  <c r="I73" i="112" s="1"/>
  <c r="F73" i="112"/>
  <c r="E73" i="112"/>
  <c r="D73" i="112"/>
  <c r="C73" i="112"/>
  <c r="B73" i="112"/>
  <c r="G72" i="112"/>
  <c r="F72" i="112"/>
  <c r="E72" i="112"/>
  <c r="D72" i="112"/>
  <c r="C72" i="112"/>
  <c r="B72" i="112"/>
  <c r="G70" i="112"/>
  <c r="H70" i="112" s="1"/>
  <c r="I70" i="112" s="1"/>
  <c r="F70" i="112"/>
  <c r="E70" i="112"/>
  <c r="D70" i="112"/>
  <c r="C70" i="112"/>
  <c r="B70" i="112"/>
  <c r="G69" i="112"/>
  <c r="F69" i="112"/>
  <c r="E69" i="112"/>
  <c r="D69" i="112"/>
  <c r="C69" i="112"/>
  <c r="B69" i="112"/>
  <c r="G68" i="112"/>
  <c r="H68" i="112" s="1"/>
  <c r="I68" i="112" s="1"/>
  <c r="F68" i="112"/>
  <c r="E68" i="112"/>
  <c r="D68" i="112"/>
  <c r="C68" i="112"/>
  <c r="B68" i="112"/>
  <c r="G67" i="112"/>
  <c r="F67" i="112"/>
  <c r="E67" i="112"/>
  <c r="D67" i="112"/>
  <c r="C67" i="112"/>
  <c r="B67" i="112"/>
  <c r="G66" i="112"/>
  <c r="H66" i="112" s="1"/>
  <c r="I66" i="112" s="1"/>
  <c r="F66" i="112"/>
  <c r="E66" i="112"/>
  <c r="D66" i="112"/>
  <c r="C66" i="112"/>
  <c r="B66" i="112"/>
  <c r="G65" i="112"/>
  <c r="F65" i="112"/>
  <c r="E65" i="112"/>
  <c r="D65" i="112"/>
  <c r="C65" i="112"/>
  <c r="B65" i="112"/>
  <c r="G64" i="112"/>
  <c r="H64" i="112" s="1"/>
  <c r="I64" i="112" s="1"/>
  <c r="F64" i="112"/>
  <c r="E64" i="112"/>
  <c r="D64" i="112"/>
  <c r="C64" i="112"/>
  <c r="B64" i="112"/>
  <c r="G54" i="112"/>
  <c r="H54" i="112" s="1"/>
  <c r="I54" i="112" s="1"/>
  <c r="F54" i="112"/>
  <c r="E54" i="112"/>
  <c r="D54" i="112"/>
  <c r="C54" i="112"/>
  <c r="B54" i="112"/>
  <c r="G53" i="112"/>
  <c r="F53" i="112"/>
  <c r="E53" i="112"/>
  <c r="D53" i="112"/>
  <c r="C53" i="112"/>
  <c r="G52" i="112"/>
  <c r="F52" i="112"/>
  <c r="E52" i="112"/>
  <c r="D52" i="112"/>
  <c r="C52" i="112"/>
  <c r="B52" i="112"/>
  <c r="G51" i="112"/>
  <c r="H51" i="112" s="1"/>
  <c r="I51" i="112" s="1"/>
  <c r="F51" i="112"/>
  <c r="E51" i="112"/>
  <c r="D51" i="112"/>
  <c r="C51" i="112"/>
  <c r="B51" i="112"/>
  <c r="G50" i="112"/>
  <c r="H50" i="112" s="1"/>
  <c r="I50" i="112" s="1"/>
  <c r="F50" i="112"/>
  <c r="E50" i="112"/>
  <c r="D50" i="112"/>
  <c r="C50" i="112"/>
  <c r="B50" i="112"/>
  <c r="G49" i="112"/>
  <c r="F49" i="112"/>
  <c r="E49" i="112"/>
  <c r="D49" i="112"/>
  <c r="C49" i="112"/>
  <c r="B49" i="112"/>
  <c r="G48" i="112"/>
  <c r="H48" i="112" s="1"/>
  <c r="I48" i="112" s="1"/>
  <c r="F48" i="112"/>
  <c r="E48" i="112"/>
  <c r="D48" i="112"/>
  <c r="C48" i="112"/>
  <c r="B48" i="112"/>
  <c r="G46" i="112"/>
  <c r="H46" i="112" s="1"/>
  <c r="I46" i="112" s="1"/>
  <c r="F46" i="112"/>
  <c r="E46" i="112"/>
  <c r="D46" i="112"/>
  <c r="C46" i="112"/>
  <c r="B46" i="112"/>
  <c r="G45" i="112"/>
  <c r="F45" i="112"/>
  <c r="E45" i="112"/>
  <c r="D45" i="112"/>
  <c r="C45" i="112"/>
  <c r="B45" i="112"/>
  <c r="G44" i="112"/>
  <c r="H44" i="112" s="1"/>
  <c r="I44" i="112" s="1"/>
  <c r="F44" i="112"/>
  <c r="E44" i="112"/>
  <c r="D44" i="112"/>
  <c r="C44" i="112"/>
  <c r="B44" i="112"/>
  <c r="G43" i="112"/>
  <c r="H43" i="112" s="1"/>
  <c r="I43" i="112" s="1"/>
  <c r="F43" i="112"/>
  <c r="E43" i="112"/>
  <c r="D43" i="112"/>
  <c r="C43" i="112"/>
  <c r="B43" i="112"/>
  <c r="G42" i="112"/>
  <c r="H42" i="112" s="1"/>
  <c r="I42" i="112" s="1"/>
  <c r="F42" i="112"/>
  <c r="E42" i="112"/>
  <c r="D42" i="112"/>
  <c r="C42" i="112"/>
  <c r="B42" i="112"/>
  <c r="G41" i="112"/>
  <c r="H41" i="112" s="1"/>
  <c r="I41" i="112" s="1"/>
  <c r="F41" i="112"/>
  <c r="E41" i="112"/>
  <c r="D41" i="112"/>
  <c r="C41" i="112"/>
  <c r="B41" i="112"/>
  <c r="G40" i="112"/>
  <c r="H40" i="112" s="1"/>
  <c r="F40" i="112"/>
  <c r="E40" i="112"/>
  <c r="D40" i="112"/>
  <c r="C40" i="112"/>
  <c r="B40" i="112"/>
  <c r="G38" i="112"/>
  <c r="H38" i="112" s="1"/>
  <c r="I38" i="112" s="1"/>
  <c r="F38" i="112"/>
  <c r="E38" i="112"/>
  <c r="D38" i="112"/>
  <c r="C38" i="112"/>
  <c r="B38" i="112"/>
  <c r="G37" i="112"/>
  <c r="F37" i="112"/>
  <c r="E37" i="112"/>
  <c r="D37" i="112"/>
  <c r="C37" i="112"/>
  <c r="B37" i="112"/>
  <c r="G36" i="112"/>
  <c r="H36" i="112" s="1"/>
  <c r="I36" i="112" s="1"/>
  <c r="F36" i="112"/>
  <c r="E36" i="112"/>
  <c r="D36" i="112"/>
  <c r="C36" i="112"/>
  <c r="B36" i="112"/>
  <c r="G35" i="112"/>
  <c r="H35" i="112" s="1"/>
  <c r="I35" i="112" s="1"/>
  <c r="F35" i="112"/>
  <c r="E35" i="112"/>
  <c r="D35" i="112"/>
  <c r="C35" i="112"/>
  <c r="B35" i="112"/>
  <c r="G34" i="112"/>
  <c r="F34" i="112"/>
  <c r="E34" i="112"/>
  <c r="D34" i="112"/>
  <c r="C34" i="112"/>
  <c r="B34" i="112"/>
  <c r="G33" i="112"/>
  <c r="H33" i="112" s="1"/>
  <c r="I33" i="112" s="1"/>
  <c r="F33" i="112"/>
  <c r="E33" i="112"/>
  <c r="D33" i="112"/>
  <c r="C33" i="112"/>
  <c r="B33" i="112"/>
  <c r="G32" i="112"/>
  <c r="H32" i="112" s="1"/>
  <c r="I32" i="112" s="1"/>
  <c r="F32" i="112"/>
  <c r="E32" i="112"/>
  <c r="D32" i="112"/>
  <c r="C32" i="112"/>
  <c r="B32" i="112"/>
  <c r="G30" i="112"/>
  <c r="H30" i="112" s="1"/>
  <c r="I30" i="112" s="1"/>
  <c r="F30" i="112"/>
  <c r="E30" i="112"/>
  <c r="D30" i="112"/>
  <c r="C30" i="112"/>
  <c r="B30" i="112"/>
  <c r="G29" i="112"/>
  <c r="H29" i="112" s="1"/>
  <c r="I29" i="112" s="1"/>
  <c r="F29" i="112"/>
  <c r="E29" i="112"/>
  <c r="D29" i="112"/>
  <c r="C29" i="112"/>
  <c r="B29" i="112"/>
  <c r="G28" i="112"/>
  <c r="H28" i="112" s="1"/>
  <c r="I28" i="112" s="1"/>
  <c r="F28" i="112"/>
  <c r="E28" i="112"/>
  <c r="D28" i="112"/>
  <c r="C28" i="112"/>
  <c r="B28" i="112"/>
  <c r="G27" i="112"/>
  <c r="H27" i="112" s="1"/>
  <c r="I27" i="112" s="1"/>
  <c r="F27" i="112"/>
  <c r="E27" i="112"/>
  <c r="D27" i="112"/>
  <c r="C27" i="112"/>
  <c r="B27" i="112"/>
  <c r="G26" i="112"/>
  <c r="H26" i="112" s="1"/>
  <c r="I26" i="112" s="1"/>
  <c r="F26" i="112"/>
  <c r="E26" i="112"/>
  <c r="D26" i="112"/>
  <c r="C26" i="112"/>
  <c r="B26" i="112"/>
  <c r="G25" i="112"/>
  <c r="F25" i="112"/>
  <c r="E25" i="112"/>
  <c r="D25" i="112"/>
  <c r="C25" i="112"/>
  <c r="B25" i="112"/>
  <c r="G24" i="112"/>
  <c r="H24" i="112" s="1"/>
  <c r="F24" i="112"/>
  <c r="E24" i="112"/>
  <c r="D24" i="112"/>
  <c r="C24" i="112"/>
  <c r="B24" i="112"/>
  <c r="G22" i="112"/>
  <c r="F22" i="112"/>
  <c r="E22" i="112"/>
  <c r="D22" i="112"/>
  <c r="C22" i="112"/>
  <c r="B22" i="112"/>
  <c r="G21" i="112"/>
  <c r="F21" i="112"/>
  <c r="E21" i="112"/>
  <c r="D21" i="112"/>
  <c r="C21" i="112"/>
  <c r="B21" i="112"/>
  <c r="G20" i="112"/>
  <c r="H20" i="112" s="1"/>
  <c r="I20" i="112" s="1"/>
  <c r="F20" i="112"/>
  <c r="E20" i="112"/>
  <c r="D20" i="112"/>
  <c r="C20" i="112"/>
  <c r="B20" i="112"/>
  <c r="G19" i="112"/>
  <c r="H19" i="112" s="1"/>
  <c r="I19" i="112" s="1"/>
  <c r="F19" i="112"/>
  <c r="E19" i="112"/>
  <c r="D19" i="112"/>
  <c r="C19" i="112"/>
  <c r="B19" i="112"/>
  <c r="G18" i="112"/>
  <c r="H18" i="112" s="1"/>
  <c r="I18" i="112" s="1"/>
  <c r="F18" i="112"/>
  <c r="E18" i="112"/>
  <c r="D18" i="112"/>
  <c r="C18" i="112"/>
  <c r="B18" i="112"/>
  <c r="G17" i="112"/>
  <c r="H17" i="112" s="1"/>
  <c r="I17" i="112" s="1"/>
  <c r="F17" i="112"/>
  <c r="E17" i="112"/>
  <c r="D17" i="112"/>
  <c r="C17" i="112"/>
  <c r="B17" i="112"/>
  <c r="G16" i="112"/>
  <c r="H16" i="112" s="1"/>
  <c r="I16" i="112" s="1"/>
  <c r="F16" i="112"/>
  <c r="E16" i="112"/>
  <c r="D16" i="112"/>
  <c r="C16" i="112"/>
  <c r="B16" i="112"/>
  <c r="G15" i="112"/>
  <c r="H15" i="112" s="1"/>
  <c r="F15" i="112"/>
  <c r="E15" i="112"/>
  <c r="D15" i="112"/>
  <c r="C15" i="112"/>
  <c r="B15" i="112"/>
  <c r="G5" i="112"/>
  <c r="F5" i="112"/>
  <c r="E5" i="112"/>
  <c r="D5" i="112"/>
  <c r="D13" i="112" s="1"/>
  <c r="C5" i="112"/>
  <c r="B5" i="112"/>
  <c r="G1" i="112"/>
  <c r="F1" i="112"/>
  <c r="E1" i="112"/>
  <c r="D1" i="112"/>
  <c r="C1" i="112"/>
  <c r="B1" i="112"/>
  <c r="AE19" i="114"/>
  <c r="AD19" i="114"/>
  <c r="AC19" i="114"/>
  <c r="AB19" i="114"/>
  <c r="AA19" i="114"/>
  <c r="Z19" i="114"/>
  <c r="Y19" i="114"/>
  <c r="X19" i="114"/>
  <c r="W19" i="114"/>
  <c r="V19" i="114"/>
  <c r="M19" i="114"/>
  <c r="M16" i="114" s="1"/>
  <c r="H19" i="114"/>
  <c r="H16" i="114" s="1"/>
  <c r="G19" i="114"/>
  <c r="G16" i="114" s="1"/>
  <c r="D19" i="114"/>
  <c r="N15" i="114"/>
  <c r="S13" i="114"/>
  <c r="V8" i="114"/>
  <c r="M8" i="114"/>
  <c r="N7" i="114"/>
  <c r="N5" i="114"/>
  <c r="U4" i="114"/>
  <c r="AG4" i="114" s="1"/>
  <c r="AE19" i="113"/>
  <c r="AD19" i="113"/>
  <c r="AC19" i="113"/>
  <c r="AB19" i="113"/>
  <c r="AA19" i="113"/>
  <c r="Z19" i="113"/>
  <c r="Y19" i="113"/>
  <c r="X19" i="113"/>
  <c r="W19" i="113"/>
  <c r="V19" i="113"/>
  <c r="M19" i="113"/>
  <c r="M16" i="113" s="1"/>
  <c r="H19" i="113"/>
  <c r="H16" i="113" s="1"/>
  <c r="G19" i="113"/>
  <c r="G16" i="113" s="1"/>
  <c r="D19" i="113"/>
  <c r="N15" i="113"/>
  <c r="S13" i="113"/>
  <c r="V8" i="113"/>
  <c r="M8" i="113"/>
  <c r="N7" i="113"/>
  <c r="N5" i="113"/>
  <c r="AH4" i="113"/>
  <c r="AG4" i="113"/>
  <c r="U4" i="113"/>
  <c r="H142" i="112"/>
  <c r="I142" i="112" s="1"/>
  <c r="H141" i="112"/>
  <c r="I141" i="112" s="1"/>
  <c r="H140" i="112"/>
  <c r="I140" i="112" s="1"/>
  <c r="H139" i="112"/>
  <c r="I139" i="112" s="1"/>
  <c r="H132" i="112"/>
  <c r="I132" i="112" s="1"/>
  <c r="H131" i="112"/>
  <c r="H128" i="112"/>
  <c r="I128" i="112" s="1"/>
  <c r="H127" i="112"/>
  <c r="I127" i="112" s="1"/>
  <c r="H124" i="112"/>
  <c r="I124" i="112" s="1"/>
  <c r="H123" i="112"/>
  <c r="I123" i="112" s="1"/>
  <c r="H121" i="112"/>
  <c r="I121" i="112" s="1"/>
  <c r="H119" i="112"/>
  <c r="I119" i="112" s="1"/>
  <c r="H118" i="112"/>
  <c r="I118" i="112" s="1"/>
  <c r="H117" i="112"/>
  <c r="I117" i="112" s="1"/>
  <c r="H114" i="112"/>
  <c r="I114" i="112" s="1"/>
  <c r="H113" i="112"/>
  <c r="I113" i="112" s="1"/>
  <c r="H112" i="112"/>
  <c r="I112" i="112" s="1"/>
  <c r="H110" i="112"/>
  <c r="I110" i="112" s="1"/>
  <c r="H107" i="112"/>
  <c r="I107" i="112" s="1"/>
  <c r="T12" i="114" s="1"/>
  <c r="H105" i="112"/>
  <c r="I105" i="112" s="1"/>
  <c r="T10" i="114" s="1"/>
  <c r="H101" i="112"/>
  <c r="I101" i="112" s="1"/>
  <c r="I102" i="112" s="1"/>
  <c r="G102" i="112"/>
  <c r="C102" i="112"/>
  <c r="B102" i="112"/>
  <c r="E99" i="112"/>
  <c r="C99" i="112"/>
  <c r="H95" i="112"/>
  <c r="I95" i="112" s="1"/>
  <c r="G96" i="112"/>
  <c r="H92" i="112"/>
  <c r="I92" i="112" s="1"/>
  <c r="H90" i="112"/>
  <c r="I90" i="112" s="1"/>
  <c r="H88" i="112"/>
  <c r="I88" i="112" s="1"/>
  <c r="H86" i="112"/>
  <c r="H83" i="112"/>
  <c r="I83" i="112" s="1"/>
  <c r="H81" i="112"/>
  <c r="I81" i="112" s="1"/>
  <c r="H79" i="112"/>
  <c r="I79" i="112" s="1"/>
  <c r="H76" i="112"/>
  <c r="I76" i="112" s="1"/>
  <c r="H72" i="112"/>
  <c r="I72" i="112" s="1"/>
  <c r="H67" i="112"/>
  <c r="I67" i="112" s="1"/>
  <c r="H65" i="112"/>
  <c r="I65" i="112" s="1"/>
  <c r="H58" i="112"/>
  <c r="I58" i="112" s="1"/>
  <c r="H57" i="112"/>
  <c r="I57" i="112" s="1"/>
  <c r="H56" i="112"/>
  <c r="I56" i="112" s="1"/>
  <c r="H52" i="112"/>
  <c r="I52" i="112" s="1"/>
  <c r="H34" i="112"/>
  <c r="I34" i="112" s="1"/>
  <c r="H22" i="112"/>
  <c r="I22" i="112" s="1"/>
  <c r="H5" i="112"/>
  <c r="I5" i="112" s="1"/>
  <c r="N16" i="114" s="1"/>
  <c r="L32" i="111"/>
  <c r="K32" i="111"/>
  <c r="J32" i="111"/>
  <c r="I32" i="111"/>
  <c r="H32" i="111"/>
  <c r="G32" i="111"/>
  <c r="F32" i="111"/>
  <c r="E32" i="111"/>
  <c r="D32" i="111"/>
  <c r="C32" i="111"/>
  <c r="B32" i="111"/>
  <c r="L32" i="110"/>
  <c r="K32" i="110"/>
  <c r="J32" i="110"/>
  <c r="I32" i="110"/>
  <c r="H32" i="110"/>
  <c r="G32" i="110"/>
  <c r="F32" i="110"/>
  <c r="E32" i="110"/>
  <c r="D32" i="110"/>
  <c r="C32" i="110"/>
  <c r="B32" i="110"/>
  <c r="L32" i="109"/>
  <c r="K32" i="109"/>
  <c r="J32" i="109"/>
  <c r="I32" i="109"/>
  <c r="H32" i="109"/>
  <c r="G32" i="109"/>
  <c r="F32" i="109"/>
  <c r="E32" i="109"/>
  <c r="D32" i="109"/>
  <c r="C32" i="109"/>
  <c r="B32" i="109"/>
  <c r="L32" i="108"/>
  <c r="K32" i="108"/>
  <c r="J32" i="108"/>
  <c r="I32" i="108"/>
  <c r="H32" i="108"/>
  <c r="G32" i="108"/>
  <c r="F32" i="108"/>
  <c r="E32" i="108"/>
  <c r="D32" i="108"/>
  <c r="C32" i="108"/>
  <c r="B32" i="108"/>
  <c r="L32" i="107"/>
  <c r="K32" i="107"/>
  <c r="J32" i="107"/>
  <c r="I32" i="107"/>
  <c r="H32" i="107"/>
  <c r="G32" i="107"/>
  <c r="F32" i="107"/>
  <c r="E32" i="107"/>
  <c r="D32" i="107"/>
  <c r="C32" i="107"/>
  <c r="B32" i="107"/>
  <c r="G128" i="104"/>
  <c r="F128" i="104"/>
  <c r="E128" i="104"/>
  <c r="D128" i="104"/>
  <c r="C128" i="104"/>
  <c r="B128" i="104"/>
  <c r="G127" i="104"/>
  <c r="H127" i="104" s="1"/>
  <c r="I127" i="104" s="1"/>
  <c r="F127" i="104"/>
  <c r="E127" i="104"/>
  <c r="D127" i="104"/>
  <c r="C127" i="104"/>
  <c r="B127" i="104"/>
  <c r="G126" i="104"/>
  <c r="F126" i="104"/>
  <c r="E126" i="104"/>
  <c r="D126" i="104"/>
  <c r="C126" i="104"/>
  <c r="B126" i="104"/>
  <c r="G125" i="104"/>
  <c r="F125" i="104"/>
  <c r="E125" i="104"/>
  <c r="D125" i="104"/>
  <c r="C125" i="104"/>
  <c r="B125" i="104"/>
  <c r="G124" i="104"/>
  <c r="H124" i="104" s="1"/>
  <c r="I124" i="104" s="1"/>
  <c r="F124" i="104"/>
  <c r="E124" i="104"/>
  <c r="D124" i="104"/>
  <c r="C124" i="104"/>
  <c r="B124" i="104"/>
  <c r="G123" i="104"/>
  <c r="H123" i="104" s="1"/>
  <c r="I123" i="104" s="1"/>
  <c r="F123" i="104"/>
  <c r="E123" i="104"/>
  <c r="D123" i="104"/>
  <c r="C123" i="104"/>
  <c r="B123" i="104"/>
  <c r="G121" i="104"/>
  <c r="F121" i="104"/>
  <c r="E121" i="104"/>
  <c r="D121" i="104"/>
  <c r="C121" i="104"/>
  <c r="B121" i="104"/>
  <c r="G120" i="104"/>
  <c r="F120" i="104"/>
  <c r="E120" i="104"/>
  <c r="D120" i="104"/>
  <c r="C120" i="104"/>
  <c r="B120" i="104"/>
  <c r="G119" i="104"/>
  <c r="H119" i="104" s="1"/>
  <c r="I119" i="104" s="1"/>
  <c r="F119" i="104"/>
  <c r="E119" i="104"/>
  <c r="D119" i="104"/>
  <c r="C119" i="104"/>
  <c r="B119" i="104"/>
  <c r="G118" i="104"/>
  <c r="H118" i="104" s="1"/>
  <c r="I118" i="104" s="1"/>
  <c r="F118" i="104"/>
  <c r="E118" i="104"/>
  <c r="D118" i="104"/>
  <c r="C118" i="104"/>
  <c r="B118" i="104"/>
  <c r="G117" i="104"/>
  <c r="F117" i="104"/>
  <c r="E117" i="104"/>
  <c r="D117" i="104"/>
  <c r="C117" i="104"/>
  <c r="B117" i="104"/>
  <c r="G116" i="104"/>
  <c r="F116" i="104"/>
  <c r="E116" i="104"/>
  <c r="D116" i="104"/>
  <c r="C116" i="104"/>
  <c r="B116" i="104"/>
  <c r="G114" i="104"/>
  <c r="H114" i="104" s="1"/>
  <c r="I114" i="104" s="1"/>
  <c r="F114" i="104"/>
  <c r="E114" i="104"/>
  <c r="D114" i="104"/>
  <c r="C114" i="104"/>
  <c r="B114" i="104"/>
  <c r="G113" i="104"/>
  <c r="H113" i="104" s="1"/>
  <c r="I113" i="104" s="1"/>
  <c r="F113" i="104"/>
  <c r="E113" i="104"/>
  <c r="D113" i="104"/>
  <c r="C113" i="104"/>
  <c r="B113" i="104"/>
  <c r="G112" i="104"/>
  <c r="F112" i="104"/>
  <c r="E112" i="104"/>
  <c r="D112" i="104"/>
  <c r="C112" i="104"/>
  <c r="B112" i="104"/>
  <c r="G111" i="104"/>
  <c r="H111" i="104" s="1"/>
  <c r="I111" i="104" s="1"/>
  <c r="F111" i="104"/>
  <c r="E111" i="104"/>
  <c r="D111" i="104"/>
  <c r="C111" i="104"/>
  <c r="B111" i="104"/>
  <c r="G110" i="104"/>
  <c r="H110" i="104" s="1"/>
  <c r="I110" i="104" s="1"/>
  <c r="F110" i="104"/>
  <c r="E110" i="104"/>
  <c r="D110" i="104"/>
  <c r="C110" i="104"/>
  <c r="B110" i="104"/>
  <c r="G109" i="104"/>
  <c r="F109" i="104"/>
  <c r="E109" i="104"/>
  <c r="D109" i="104"/>
  <c r="C109" i="104"/>
  <c r="B109" i="104"/>
  <c r="G107" i="104"/>
  <c r="H107" i="104" s="1"/>
  <c r="F107" i="104"/>
  <c r="E107" i="104"/>
  <c r="D107" i="104"/>
  <c r="C107" i="104"/>
  <c r="B107" i="104"/>
  <c r="G105" i="104"/>
  <c r="F105" i="104"/>
  <c r="E105" i="104"/>
  <c r="D105" i="104"/>
  <c r="C105" i="104"/>
  <c r="B105" i="104"/>
  <c r="G104" i="104"/>
  <c r="H104" i="104" s="1"/>
  <c r="I104" i="104" s="1"/>
  <c r="T9" i="106" s="1"/>
  <c r="F104" i="104"/>
  <c r="E104" i="104"/>
  <c r="D104" i="104"/>
  <c r="C104" i="104"/>
  <c r="B104" i="104"/>
  <c r="G101" i="104"/>
  <c r="H101" i="104" s="1"/>
  <c r="I101" i="104" s="1"/>
  <c r="I102" i="104" s="1"/>
  <c r="F101" i="104"/>
  <c r="E101" i="104"/>
  <c r="E102" i="104" s="1"/>
  <c r="D101" i="104"/>
  <c r="C101" i="104"/>
  <c r="B101" i="104"/>
  <c r="G98" i="104"/>
  <c r="F98" i="104"/>
  <c r="F99" i="104" s="1"/>
  <c r="E98" i="104"/>
  <c r="D98" i="104"/>
  <c r="C98" i="104"/>
  <c r="C99" i="104" s="1"/>
  <c r="B98" i="104"/>
  <c r="B99" i="104" s="1"/>
  <c r="G95" i="104"/>
  <c r="H95" i="104" s="1"/>
  <c r="I95" i="104" s="1"/>
  <c r="F95" i="104"/>
  <c r="E95" i="104"/>
  <c r="D95" i="104"/>
  <c r="C95" i="104"/>
  <c r="B95" i="104"/>
  <c r="G94" i="104"/>
  <c r="H94" i="104" s="1"/>
  <c r="I94" i="104" s="1"/>
  <c r="F94" i="104"/>
  <c r="E94" i="104"/>
  <c r="D94" i="104"/>
  <c r="C94" i="104"/>
  <c r="B94" i="104"/>
  <c r="G90" i="104"/>
  <c r="H90" i="104" s="1"/>
  <c r="I90" i="104" s="1"/>
  <c r="F90" i="104"/>
  <c r="E90" i="104"/>
  <c r="D90" i="104"/>
  <c r="C90" i="104"/>
  <c r="B90" i="104"/>
  <c r="G88" i="104"/>
  <c r="F88" i="104"/>
  <c r="E88" i="104"/>
  <c r="D88" i="104"/>
  <c r="C88" i="104"/>
  <c r="B88" i="104"/>
  <c r="G86" i="104"/>
  <c r="H86" i="104" s="1"/>
  <c r="I86" i="104" s="1"/>
  <c r="I85" i="104" s="1"/>
  <c r="F86" i="104"/>
  <c r="E86" i="104"/>
  <c r="D86" i="104"/>
  <c r="C86" i="104"/>
  <c r="B86" i="104"/>
  <c r="G85" i="104"/>
  <c r="F85" i="104"/>
  <c r="E85" i="104"/>
  <c r="D85" i="104"/>
  <c r="C85" i="104"/>
  <c r="B85" i="104"/>
  <c r="G83" i="104"/>
  <c r="F83" i="104"/>
  <c r="E83" i="104"/>
  <c r="D83" i="104"/>
  <c r="C83" i="104"/>
  <c r="B83" i="104"/>
  <c r="G82" i="104"/>
  <c r="F82" i="104"/>
  <c r="E82" i="104"/>
  <c r="D82" i="104"/>
  <c r="C82" i="104"/>
  <c r="B82" i="104"/>
  <c r="G81" i="104"/>
  <c r="H81" i="104" s="1"/>
  <c r="I81" i="104" s="1"/>
  <c r="F81" i="104"/>
  <c r="E81" i="104"/>
  <c r="D81" i="104"/>
  <c r="C81" i="104"/>
  <c r="B81" i="104"/>
  <c r="G80" i="104"/>
  <c r="H80" i="104" s="1"/>
  <c r="I80" i="104" s="1"/>
  <c r="F80" i="104"/>
  <c r="E80" i="104"/>
  <c r="D80" i="104"/>
  <c r="C80" i="104"/>
  <c r="B80" i="104"/>
  <c r="G79" i="104"/>
  <c r="H79" i="104" s="1"/>
  <c r="I79" i="104" s="1"/>
  <c r="F79" i="104"/>
  <c r="E79" i="104"/>
  <c r="D79" i="104"/>
  <c r="C79" i="104"/>
  <c r="B79" i="104"/>
  <c r="G78" i="104"/>
  <c r="H78" i="104" s="1"/>
  <c r="I78" i="104" s="1"/>
  <c r="F78" i="104"/>
  <c r="E78" i="104"/>
  <c r="D78" i="104"/>
  <c r="C78" i="104"/>
  <c r="B78" i="104"/>
  <c r="G77" i="104"/>
  <c r="F77" i="104"/>
  <c r="E77" i="104"/>
  <c r="D77" i="104"/>
  <c r="C77" i="104"/>
  <c r="B77" i="104"/>
  <c r="G73" i="104"/>
  <c r="H73" i="104" s="1"/>
  <c r="I73" i="104" s="1"/>
  <c r="F73" i="104"/>
  <c r="E73" i="104"/>
  <c r="D73" i="104"/>
  <c r="C73" i="104"/>
  <c r="B73" i="104"/>
  <c r="G72" i="104"/>
  <c r="F72" i="104"/>
  <c r="E72" i="104"/>
  <c r="D72" i="104"/>
  <c r="C72" i="104"/>
  <c r="B72" i="104"/>
  <c r="G70" i="104"/>
  <c r="F70" i="104"/>
  <c r="E70" i="104"/>
  <c r="D70" i="104"/>
  <c r="C70" i="104"/>
  <c r="B70" i="104"/>
  <c r="G69" i="104"/>
  <c r="F69" i="104"/>
  <c r="E69" i="104"/>
  <c r="D69" i="104"/>
  <c r="C69" i="104"/>
  <c r="B69" i="104"/>
  <c r="G68" i="104"/>
  <c r="H68" i="104" s="1"/>
  <c r="I68" i="104" s="1"/>
  <c r="F68" i="104"/>
  <c r="E68" i="104"/>
  <c r="D68" i="104"/>
  <c r="C68" i="104"/>
  <c r="B68" i="104"/>
  <c r="G67" i="104"/>
  <c r="H67" i="104" s="1"/>
  <c r="I67" i="104" s="1"/>
  <c r="F67" i="104"/>
  <c r="E67" i="104"/>
  <c r="D67" i="104"/>
  <c r="C67" i="104"/>
  <c r="B67" i="104"/>
  <c r="G66" i="104"/>
  <c r="H66" i="104" s="1"/>
  <c r="I66" i="104" s="1"/>
  <c r="F66" i="104"/>
  <c r="E66" i="104"/>
  <c r="D66" i="104"/>
  <c r="C66" i="104"/>
  <c r="B66" i="104"/>
  <c r="G65" i="104"/>
  <c r="H65" i="104" s="1"/>
  <c r="F65" i="104"/>
  <c r="E65" i="104"/>
  <c r="D65" i="104"/>
  <c r="C65" i="104"/>
  <c r="B65" i="104"/>
  <c r="G64" i="104"/>
  <c r="H64" i="104" s="1"/>
  <c r="I64" i="104" s="1"/>
  <c r="F64" i="104"/>
  <c r="E64" i="104"/>
  <c r="D64" i="104"/>
  <c r="C64" i="104"/>
  <c r="B64" i="104"/>
  <c r="G62" i="104"/>
  <c r="H62" i="104" s="1"/>
  <c r="I62" i="104" s="1"/>
  <c r="F62" i="104"/>
  <c r="E62" i="104"/>
  <c r="D62" i="104"/>
  <c r="C62" i="104"/>
  <c r="G61" i="104"/>
  <c r="F61" i="104"/>
  <c r="E61" i="104"/>
  <c r="D61" i="104"/>
  <c r="C61" i="104"/>
  <c r="G60" i="104"/>
  <c r="H60" i="104" s="1"/>
  <c r="I60" i="104" s="1"/>
  <c r="F60" i="104"/>
  <c r="E60" i="104"/>
  <c r="D60" i="104"/>
  <c r="C60" i="104"/>
  <c r="G59" i="104"/>
  <c r="F59" i="104"/>
  <c r="E59" i="104"/>
  <c r="D59" i="104"/>
  <c r="C59" i="104"/>
  <c r="G58" i="104"/>
  <c r="H58" i="104" s="1"/>
  <c r="I58" i="104" s="1"/>
  <c r="F58" i="104"/>
  <c r="E58" i="104"/>
  <c r="D58" i="104"/>
  <c r="G57" i="104"/>
  <c r="F57" i="104"/>
  <c r="E57" i="104"/>
  <c r="D57" i="104"/>
  <c r="C57" i="104"/>
  <c r="G56" i="104"/>
  <c r="H56" i="104" s="1"/>
  <c r="I56" i="104" s="1"/>
  <c r="F56" i="104"/>
  <c r="E56" i="104"/>
  <c r="D56" i="104"/>
  <c r="C56" i="104"/>
  <c r="G54" i="104"/>
  <c r="H54" i="104" s="1"/>
  <c r="I54" i="104" s="1"/>
  <c r="F54" i="104"/>
  <c r="E54" i="104"/>
  <c r="D54" i="104"/>
  <c r="C54" i="104"/>
  <c r="B54" i="104"/>
  <c r="G53" i="104"/>
  <c r="F53" i="104"/>
  <c r="E53" i="104"/>
  <c r="D53" i="104"/>
  <c r="C53" i="104"/>
  <c r="B53" i="104"/>
  <c r="G52" i="104"/>
  <c r="H52" i="104" s="1"/>
  <c r="I52" i="104" s="1"/>
  <c r="F52" i="104"/>
  <c r="E52" i="104"/>
  <c r="D52" i="104"/>
  <c r="C52" i="104"/>
  <c r="B52" i="104"/>
  <c r="G51" i="104"/>
  <c r="H51" i="104" s="1"/>
  <c r="I51" i="104" s="1"/>
  <c r="F51" i="104"/>
  <c r="E51" i="104"/>
  <c r="D51" i="104"/>
  <c r="C51" i="104"/>
  <c r="B51" i="104"/>
  <c r="G50" i="104"/>
  <c r="F50" i="104"/>
  <c r="E50" i="104"/>
  <c r="D50" i="104"/>
  <c r="C50" i="104"/>
  <c r="B50" i="104"/>
  <c r="G49" i="104"/>
  <c r="H49" i="104" s="1"/>
  <c r="F49" i="104"/>
  <c r="E49" i="104"/>
  <c r="D49" i="104"/>
  <c r="C49" i="104"/>
  <c r="B49" i="104"/>
  <c r="G48" i="104"/>
  <c r="H48" i="104" s="1"/>
  <c r="I48" i="104" s="1"/>
  <c r="F48" i="104"/>
  <c r="E48" i="104"/>
  <c r="D48" i="104"/>
  <c r="C48" i="104"/>
  <c r="B48" i="104"/>
  <c r="G46" i="104"/>
  <c r="F46" i="104"/>
  <c r="E46" i="104"/>
  <c r="D46" i="104"/>
  <c r="C46" i="104"/>
  <c r="B46" i="104"/>
  <c r="G45" i="104"/>
  <c r="F45" i="104"/>
  <c r="E45" i="104"/>
  <c r="D45" i="104"/>
  <c r="C45" i="104"/>
  <c r="B45" i="104"/>
  <c r="G44" i="104"/>
  <c r="H44" i="104" s="1"/>
  <c r="I44" i="104" s="1"/>
  <c r="F44" i="104"/>
  <c r="E44" i="104"/>
  <c r="D44" i="104"/>
  <c r="C44" i="104"/>
  <c r="B44" i="104"/>
  <c r="G43" i="104"/>
  <c r="F43" i="104"/>
  <c r="E43" i="104"/>
  <c r="D43" i="104"/>
  <c r="C43" i="104"/>
  <c r="B43" i="104"/>
  <c r="G42" i="104"/>
  <c r="H42" i="104" s="1"/>
  <c r="I42" i="104" s="1"/>
  <c r="F42" i="104"/>
  <c r="E42" i="104"/>
  <c r="D42" i="104"/>
  <c r="C42" i="104"/>
  <c r="B42" i="104"/>
  <c r="G41" i="104"/>
  <c r="H41" i="104" s="1"/>
  <c r="I41" i="104" s="1"/>
  <c r="F41" i="104"/>
  <c r="E41" i="104"/>
  <c r="D41" i="104"/>
  <c r="C41" i="104"/>
  <c r="B41" i="104"/>
  <c r="G40" i="104"/>
  <c r="F40" i="104"/>
  <c r="E40" i="104"/>
  <c r="D40" i="104"/>
  <c r="C40" i="104"/>
  <c r="B40" i="104"/>
  <c r="G38" i="104"/>
  <c r="H38" i="104" s="1"/>
  <c r="I38" i="104" s="1"/>
  <c r="F38" i="104"/>
  <c r="E38" i="104"/>
  <c r="D38" i="104"/>
  <c r="C38" i="104"/>
  <c r="B38" i="104"/>
  <c r="G37" i="104"/>
  <c r="F37" i="104"/>
  <c r="E37" i="104"/>
  <c r="D37" i="104"/>
  <c r="C37" i="104"/>
  <c r="B37" i="104"/>
  <c r="G36" i="104"/>
  <c r="F36" i="104"/>
  <c r="E36" i="104"/>
  <c r="D36" i="104"/>
  <c r="C36" i="104"/>
  <c r="B36" i="104"/>
  <c r="G35" i="104"/>
  <c r="H35" i="104" s="1"/>
  <c r="I35" i="104" s="1"/>
  <c r="F35" i="104"/>
  <c r="E35" i="104"/>
  <c r="D35" i="104"/>
  <c r="C35" i="104"/>
  <c r="B35" i="104"/>
  <c r="G34" i="104"/>
  <c r="H34" i="104" s="1"/>
  <c r="I34" i="104" s="1"/>
  <c r="F34" i="104"/>
  <c r="E34" i="104"/>
  <c r="D34" i="104"/>
  <c r="C34" i="104"/>
  <c r="B34" i="104"/>
  <c r="G33" i="104"/>
  <c r="H33" i="104" s="1"/>
  <c r="I33" i="104" s="1"/>
  <c r="F33" i="104"/>
  <c r="E33" i="104"/>
  <c r="D33" i="104"/>
  <c r="C33" i="104"/>
  <c r="B33" i="104"/>
  <c r="G32" i="104"/>
  <c r="H32" i="104" s="1"/>
  <c r="I32" i="104" s="1"/>
  <c r="F32" i="104"/>
  <c r="E32" i="104"/>
  <c r="D32" i="104"/>
  <c r="C32" i="104"/>
  <c r="B32" i="104"/>
  <c r="G30" i="104"/>
  <c r="H30" i="104" s="1"/>
  <c r="I30" i="104" s="1"/>
  <c r="F30" i="104"/>
  <c r="E30" i="104"/>
  <c r="D30" i="104"/>
  <c r="C30" i="104"/>
  <c r="B30" i="104"/>
  <c r="G29" i="104"/>
  <c r="F29" i="104"/>
  <c r="E29" i="104"/>
  <c r="D29" i="104"/>
  <c r="C29" i="104"/>
  <c r="B29" i="104"/>
  <c r="G28" i="104"/>
  <c r="H28" i="104" s="1"/>
  <c r="I28" i="104" s="1"/>
  <c r="F28" i="104"/>
  <c r="E28" i="104"/>
  <c r="D28" i="104"/>
  <c r="C28" i="104"/>
  <c r="B28" i="104"/>
  <c r="G27" i="104"/>
  <c r="H27" i="104" s="1"/>
  <c r="I27" i="104" s="1"/>
  <c r="F27" i="104"/>
  <c r="E27" i="104"/>
  <c r="D27" i="104"/>
  <c r="C27" i="104"/>
  <c r="B27" i="104"/>
  <c r="G26" i="104"/>
  <c r="F26" i="104"/>
  <c r="E26" i="104"/>
  <c r="D26" i="104"/>
  <c r="C26" i="104"/>
  <c r="B26" i="104"/>
  <c r="G25" i="104"/>
  <c r="F25" i="104"/>
  <c r="E25" i="104"/>
  <c r="D25" i="104"/>
  <c r="C25" i="104"/>
  <c r="B25" i="104"/>
  <c r="G24" i="104"/>
  <c r="H24" i="104" s="1"/>
  <c r="I24" i="104" s="1"/>
  <c r="F24" i="104"/>
  <c r="E24" i="104"/>
  <c r="D24" i="104"/>
  <c r="C24" i="104"/>
  <c r="B24" i="104"/>
  <c r="G22" i="104"/>
  <c r="H22" i="104" s="1"/>
  <c r="I22" i="104" s="1"/>
  <c r="F22" i="104"/>
  <c r="E22" i="104"/>
  <c r="D22" i="104"/>
  <c r="C22" i="104"/>
  <c r="B22" i="104"/>
  <c r="G21" i="104"/>
  <c r="F21" i="104"/>
  <c r="E21" i="104"/>
  <c r="D21" i="104"/>
  <c r="C21" i="104"/>
  <c r="B21" i="104"/>
  <c r="G20" i="104"/>
  <c r="H20" i="104" s="1"/>
  <c r="I20" i="104" s="1"/>
  <c r="F20" i="104"/>
  <c r="E20" i="104"/>
  <c r="D20" i="104"/>
  <c r="C20" i="104"/>
  <c r="B20" i="104"/>
  <c r="G19" i="104"/>
  <c r="H19" i="104" s="1"/>
  <c r="I19" i="104" s="1"/>
  <c r="F19" i="104"/>
  <c r="E19" i="104"/>
  <c r="D19" i="104"/>
  <c r="C19" i="104"/>
  <c r="B19" i="104"/>
  <c r="G18" i="104"/>
  <c r="F18" i="104"/>
  <c r="E18" i="104"/>
  <c r="D18" i="104"/>
  <c r="C18" i="104"/>
  <c r="B18" i="104"/>
  <c r="G17" i="104"/>
  <c r="H17" i="104" s="1"/>
  <c r="I17" i="104" s="1"/>
  <c r="F17" i="104"/>
  <c r="E17" i="104"/>
  <c r="D17" i="104"/>
  <c r="C17" i="104"/>
  <c r="B17" i="104"/>
  <c r="G16" i="104"/>
  <c r="H16" i="104" s="1"/>
  <c r="I16" i="104" s="1"/>
  <c r="F16" i="104"/>
  <c r="E16" i="104"/>
  <c r="D16" i="104"/>
  <c r="C16" i="104"/>
  <c r="B16" i="104"/>
  <c r="G15" i="104"/>
  <c r="F15" i="104"/>
  <c r="E15" i="104"/>
  <c r="D15" i="104"/>
  <c r="C15" i="104"/>
  <c r="B15" i="104"/>
  <c r="G5" i="104"/>
  <c r="F5" i="104"/>
  <c r="E5" i="104"/>
  <c r="D5" i="104"/>
  <c r="D7" i="104" s="1"/>
  <c r="C5" i="104"/>
  <c r="B5" i="104"/>
  <c r="G1" i="104"/>
  <c r="F1" i="104"/>
  <c r="E1" i="104"/>
  <c r="D1" i="104"/>
  <c r="C1" i="104"/>
  <c r="B1" i="104"/>
  <c r="AE19" i="106"/>
  <c r="AD19" i="106"/>
  <c r="AC19" i="106"/>
  <c r="AB19" i="106"/>
  <c r="AA19" i="106"/>
  <c r="Z19" i="106"/>
  <c r="Y19" i="106"/>
  <c r="X19" i="106"/>
  <c r="W19" i="106"/>
  <c r="V19" i="106"/>
  <c r="M19" i="106"/>
  <c r="H19" i="106"/>
  <c r="G19" i="106"/>
  <c r="G16" i="106" s="1"/>
  <c r="D19" i="106"/>
  <c r="M16" i="106"/>
  <c r="H16" i="106"/>
  <c r="N15" i="106"/>
  <c r="S13" i="106"/>
  <c r="V8" i="106"/>
  <c r="M8" i="106"/>
  <c r="N7" i="106"/>
  <c r="N5" i="106"/>
  <c r="U4" i="106"/>
  <c r="AH4" i="106" s="1"/>
  <c r="AE19" i="105"/>
  <c r="AD19" i="105"/>
  <c r="AC19" i="105"/>
  <c r="AB19" i="105"/>
  <c r="AA19" i="105"/>
  <c r="Z19" i="105"/>
  <c r="Y19" i="105"/>
  <c r="X19" i="105"/>
  <c r="W19" i="105"/>
  <c r="V19" i="105"/>
  <c r="M19" i="105"/>
  <c r="H19" i="105"/>
  <c r="H16" i="105" s="1"/>
  <c r="G19" i="105"/>
  <c r="G16" i="105" s="1"/>
  <c r="D19" i="105"/>
  <c r="M16" i="105"/>
  <c r="N15" i="105"/>
  <c r="S13" i="105"/>
  <c r="V8" i="105"/>
  <c r="M8" i="105"/>
  <c r="N7" i="105"/>
  <c r="N5" i="105"/>
  <c r="U4" i="105"/>
  <c r="AH4" i="105" s="1"/>
  <c r="H142" i="104"/>
  <c r="I142" i="104" s="1"/>
  <c r="H141" i="104"/>
  <c r="I141" i="104" s="1"/>
  <c r="H140" i="104"/>
  <c r="I140" i="104" s="1"/>
  <c r="H139" i="104"/>
  <c r="I139" i="104" s="1"/>
  <c r="H132" i="104"/>
  <c r="I132" i="104" s="1"/>
  <c r="H131" i="104"/>
  <c r="H128" i="104"/>
  <c r="I128" i="104" s="1"/>
  <c r="H125" i="104"/>
  <c r="I125" i="104" s="1"/>
  <c r="H121" i="104"/>
  <c r="I121" i="104" s="1"/>
  <c r="H120" i="104"/>
  <c r="I120" i="104" s="1"/>
  <c r="H117" i="104"/>
  <c r="I117" i="104" s="1"/>
  <c r="H112" i="104"/>
  <c r="I112" i="104" s="1"/>
  <c r="H106" i="104"/>
  <c r="I106" i="104" s="1"/>
  <c r="T11" i="106" s="1"/>
  <c r="H105" i="104"/>
  <c r="I105" i="104" s="1"/>
  <c r="T10" i="106" s="1"/>
  <c r="G102" i="104"/>
  <c r="F102" i="104"/>
  <c r="D102" i="104"/>
  <c r="C102" i="104"/>
  <c r="B102" i="104"/>
  <c r="H98" i="104"/>
  <c r="I98" i="104" s="1"/>
  <c r="G99" i="104"/>
  <c r="E99" i="104"/>
  <c r="D99" i="104"/>
  <c r="C96" i="104"/>
  <c r="H92" i="104"/>
  <c r="I92" i="104" s="1"/>
  <c r="H88" i="104"/>
  <c r="I88" i="104" s="1"/>
  <c r="H83" i="104"/>
  <c r="I83" i="104" s="1"/>
  <c r="H82" i="104"/>
  <c r="I82" i="104" s="1"/>
  <c r="H76" i="104"/>
  <c r="I76" i="104" s="1"/>
  <c r="H72" i="104"/>
  <c r="I72" i="104" s="1"/>
  <c r="H70" i="104"/>
  <c r="I70" i="104" s="1"/>
  <c r="H59" i="104"/>
  <c r="I59" i="104" s="1"/>
  <c r="H57" i="104"/>
  <c r="I57" i="104" s="1"/>
  <c r="H50" i="104"/>
  <c r="I50" i="104" s="1"/>
  <c r="H46" i="104"/>
  <c r="I46" i="104" s="1"/>
  <c r="H43" i="104"/>
  <c r="I43" i="104" s="1"/>
  <c r="H40" i="104"/>
  <c r="I40" i="104" s="1"/>
  <c r="H36" i="104"/>
  <c r="I36" i="104" s="1"/>
  <c r="H29" i="104"/>
  <c r="I29" i="104" s="1"/>
  <c r="H26" i="104"/>
  <c r="I26" i="104" s="1"/>
  <c r="H18" i="104"/>
  <c r="I18" i="104" s="1"/>
  <c r="H15" i="104"/>
  <c r="L32" i="103"/>
  <c r="K32" i="103"/>
  <c r="J32" i="103"/>
  <c r="I32" i="103"/>
  <c r="H32" i="103"/>
  <c r="G32" i="103"/>
  <c r="F32" i="103"/>
  <c r="E32" i="103"/>
  <c r="D32" i="103"/>
  <c r="C32" i="103"/>
  <c r="B32" i="103"/>
  <c r="L32" i="102"/>
  <c r="K32" i="102"/>
  <c r="J32" i="102"/>
  <c r="I32" i="102"/>
  <c r="H32" i="102"/>
  <c r="G32" i="102"/>
  <c r="F32" i="102"/>
  <c r="E32" i="102"/>
  <c r="D32" i="102"/>
  <c r="C32" i="102"/>
  <c r="B32" i="102"/>
  <c r="L32" i="101"/>
  <c r="K32" i="101"/>
  <c r="J32" i="101"/>
  <c r="I32" i="101"/>
  <c r="H32" i="101"/>
  <c r="G32" i="101"/>
  <c r="F32" i="101"/>
  <c r="E32" i="101"/>
  <c r="D32" i="101"/>
  <c r="C32" i="101"/>
  <c r="B32" i="101"/>
  <c r="L32" i="100"/>
  <c r="K32" i="100"/>
  <c r="J32" i="100"/>
  <c r="I32" i="100"/>
  <c r="H32" i="100"/>
  <c r="G32" i="100"/>
  <c r="F32" i="100"/>
  <c r="E32" i="100"/>
  <c r="D32" i="100"/>
  <c r="C32" i="100"/>
  <c r="B32" i="100"/>
  <c r="L32" i="99"/>
  <c r="K32" i="99"/>
  <c r="J32" i="99"/>
  <c r="I32" i="99"/>
  <c r="H32" i="99"/>
  <c r="G32" i="99"/>
  <c r="F32" i="99"/>
  <c r="E32" i="99"/>
  <c r="D32" i="99"/>
  <c r="C32" i="99"/>
  <c r="B32" i="99"/>
  <c r="F24" i="90" l="1"/>
  <c r="K24" i="90"/>
  <c r="K21" i="90"/>
  <c r="J24" i="90"/>
  <c r="C24" i="90"/>
  <c r="J60" i="152"/>
  <c r="K60" i="152" s="1"/>
  <c r="L60" i="152" s="1"/>
  <c r="M60" i="152" s="1"/>
  <c r="N60" i="152" s="1"/>
  <c r="O60" i="152" s="1"/>
  <c r="P60" i="152" s="1"/>
  <c r="Q60" i="152" s="1"/>
  <c r="M57" i="152"/>
  <c r="N57" i="152" s="1"/>
  <c r="O57" i="152" s="1"/>
  <c r="P57" i="152" s="1"/>
  <c r="Q57" i="152" s="1"/>
  <c r="R56" i="152"/>
  <c r="S46" i="152"/>
  <c r="S56" i="152" s="1"/>
  <c r="K13" i="90"/>
  <c r="L13" i="90"/>
  <c r="F21" i="90"/>
  <c r="I21" i="90"/>
  <c r="E21" i="90"/>
  <c r="C21" i="90"/>
  <c r="J21" i="90"/>
  <c r="I18" i="90"/>
  <c r="E18" i="90"/>
  <c r="L18" i="90"/>
  <c r="F18" i="90"/>
  <c r="D13" i="90"/>
  <c r="E13" i="90"/>
  <c r="F13" i="90"/>
  <c r="C13" i="90"/>
  <c r="J20" i="90"/>
  <c r="L20" i="90"/>
  <c r="AG4" i="105"/>
  <c r="AH4" i="114"/>
  <c r="I9" i="136"/>
  <c r="C20" i="90"/>
  <c r="I20" i="90"/>
  <c r="D11" i="112"/>
  <c r="E20" i="90"/>
  <c r="L22" i="138"/>
  <c r="F20" i="90"/>
  <c r="K22" i="90"/>
  <c r="F22" i="90"/>
  <c r="J22" i="90"/>
  <c r="L22" i="90"/>
  <c r="AG4" i="106"/>
  <c r="T11" i="105"/>
  <c r="C22" i="90"/>
  <c r="G96" i="104"/>
  <c r="G99" i="112"/>
  <c r="I22" i="90"/>
  <c r="E22" i="90"/>
  <c r="L17" i="90"/>
  <c r="D17" i="90"/>
  <c r="J17" i="90"/>
  <c r="C17" i="90"/>
  <c r="E17" i="90"/>
  <c r="F17" i="90"/>
  <c r="K17" i="90"/>
  <c r="D96" i="104"/>
  <c r="E96" i="104"/>
  <c r="B96" i="112"/>
  <c r="F96" i="112"/>
  <c r="D9" i="112"/>
  <c r="I49" i="104"/>
  <c r="I65" i="104"/>
  <c r="I107" i="104"/>
  <c r="T12" i="106" s="1"/>
  <c r="T12" i="105"/>
  <c r="E75" i="104"/>
  <c r="E71" i="146"/>
  <c r="B75" i="104"/>
  <c r="B71" i="146"/>
  <c r="F96" i="104"/>
  <c r="T9" i="105"/>
  <c r="D75" i="104"/>
  <c r="D71" i="146"/>
  <c r="D9" i="104"/>
  <c r="F13" i="104"/>
  <c r="F71" i="146"/>
  <c r="D11" i="104"/>
  <c r="B96" i="104"/>
  <c r="C13" i="104"/>
  <c r="C71" i="146"/>
  <c r="G13" i="104"/>
  <c r="H13" i="104" s="1"/>
  <c r="I13" i="104" s="1"/>
  <c r="G71" i="146"/>
  <c r="D13" i="104"/>
  <c r="T10" i="105"/>
  <c r="I40" i="112"/>
  <c r="I37" i="112"/>
  <c r="T20" i="114" s="1"/>
  <c r="H49" i="112"/>
  <c r="I49" i="112" s="1"/>
  <c r="B75" i="112"/>
  <c r="B107" i="146"/>
  <c r="F10" i="112"/>
  <c r="F107" i="146"/>
  <c r="T12" i="113"/>
  <c r="T11" i="113"/>
  <c r="N25" i="114"/>
  <c r="C13" i="112"/>
  <c r="C107" i="146"/>
  <c r="G13" i="112"/>
  <c r="H13" i="112" s="1"/>
  <c r="I13" i="112" s="1"/>
  <c r="AF24" i="114" s="1"/>
  <c r="G107" i="146"/>
  <c r="D96" i="112"/>
  <c r="T9" i="113"/>
  <c r="E75" i="112"/>
  <c r="E107" i="146"/>
  <c r="H116" i="112"/>
  <c r="D75" i="112"/>
  <c r="D107" i="146"/>
  <c r="D7" i="112"/>
  <c r="T10" i="113"/>
  <c r="N16" i="113"/>
  <c r="I12" i="120"/>
  <c r="AF23" i="121"/>
  <c r="I21" i="120"/>
  <c r="T17" i="122" s="1"/>
  <c r="I5" i="120"/>
  <c r="AF18" i="121"/>
  <c r="N16" i="121"/>
  <c r="AF21" i="121"/>
  <c r="AF17" i="121"/>
  <c r="L17" i="121" s="1"/>
  <c r="T24" i="122"/>
  <c r="I11" i="120"/>
  <c r="AF22" i="121"/>
  <c r="AF24" i="121"/>
  <c r="I11" i="130"/>
  <c r="AF22" i="129"/>
  <c r="AF24" i="129"/>
  <c r="J24" i="129" s="1"/>
  <c r="I5" i="130"/>
  <c r="N16" i="129"/>
  <c r="AF18" i="129"/>
  <c r="J18" i="129" s="1"/>
  <c r="AF17" i="129"/>
  <c r="AF21" i="129"/>
  <c r="I53" i="130"/>
  <c r="T22" i="128" s="1"/>
  <c r="AF23" i="129"/>
  <c r="T24" i="128"/>
  <c r="I21" i="130"/>
  <c r="T17" i="128" s="1"/>
  <c r="N13" i="137"/>
  <c r="N25" i="137"/>
  <c r="L22" i="137"/>
  <c r="E22" i="137"/>
  <c r="S22" i="137"/>
  <c r="K22" i="137"/>
  <c r="I22" i="137"/>
  <c r="F22" i="137"/>
  <c r="C22" i="137"/>
  <c r="I21" i="137"/>
  <c r="J21" i="137"/>
  <c r="E21" i="137"/>
  <c r="S21" i="137"/>
  <c r="K21" i="137"/>
  <c r="F21" i="137"/>
  <c r="L21" i="137"/>
  <c r="C21" i="137"/>
  <c r="L17" i="137"/>
  <c r="F17" i="137"/>
  <c r="C17" i="137"/>
  <c r="E17" i="137"/>
  <c r="I17" i="137"/>
  <c r="J17" i="137"/>
  <c r="K17" i="137"/>
  <c r="S17" i="137"/>
  <c r="K24" i="137"/>
  <c r="E24" i="137"/>
  <c r="I24" i="137"/>
  <c r="L24" i="137"/>
  <c r="F24" i="137"/>
  <c r="J24" i="137"/>
  <c r="C24" i="137"/>
  <c r="S24" i="137"/>
  <c r="I20" i="137"/>
  <c r="F20" i="137"/>
  <c r="K20" i="137"/>
  <c r="C20" i="137"/>
  <c r="J20" i="137"/>
  <c r="L20" i="137"/>
  <c r="E20" i="137"/>
  <c r="S20" i="137"/>
  <c r="AF19" i="137"/>
  <c r="S19" i="137" s="1"/>
  <c r="K23" i="137"/>
  <c r="L23" i="137"/>
  <c r="F23" i="137"/>
  <c r="I23" i="137"/>
  <c r="C23" i="137"/>
  <c r="J23" i="137"/>
  <c r="S23" i="137"/>
  <c r="K22" i="138"/>
  <c r="I22" i="138"/>
  <c r="C22" i="138"/>
  <c r="F22" i="138"/>
  <c r="J22" i="138"/>
  <c r="E22" i="138"/>
  <c r="S22" i="138"/>
  <c r="I18" i="137"/>
  <c r="F18" i="137"/>
  <c r="L18" i="137"/>
  <c r="C18" i="137"/>
  <c r="S18" i="137"/>
  <c r="J18" i="137"/>
  <c r="E18" i="137"/>
  <c r="AF17" i="138"/>
  <c r="N16" i="138"/>
  <c r="AF23" i="138"/>
  <c r="AF20" i="138"/>
  <c r="AF21" i="138"/>
  <c r="AF18" i="138"/>
  <c r="AF24" i="138"/>
  <c r="I7" i="130"/>
  <c r="I9" i="130" s="1"/>
  <c r="H9" i="130"/>
  <c r="AF20" i="129" s="1"/>
  <c r="I7" i="120"/>
  <c r="I9" i="120" s="1"/>
  <c r="H9" i="120"/>
  <c r="AF20" i="121" s="1"/>
  <c r="H59" i="112"/>
  <c r="I59" i="112" s="1"/>
  <c r="H60" i="112"/>
  <c r="I60" i="112" s="1"/>
  <c r="F8" i="112"/>
  <c r="F12" i="112"/>
  <c r="F75" i="112"/>
  <c r="E7" i="112"/>
  <c r="C8" i="112"/>
  <c r="G8" i="112"/>
  <c r="H8" i="112" s="1"/>
  <c r="I8" i="112" s="1"/>
  <c r="AF18" i="114" s="1"/>
  <c r="E9" i="112"/>
  <c r="C10" i="112"/>
  <c r="G10" i="112"/>
  <c r="E11" i="112"/>
  <c r="C12" i="112"/>
  <c r="G12" i="112"/>
  <c r="H12" i="112" s="1"/>
  <c r="I12" i="112" s="1"/>
  <c r="AF23" i="114" s="1"/>
  <c r="S23" i="114" s="1"/>
  <c r="E13" i="112"/>
  <c r="C75" i="112"/>
  <c r="G75" i="112"/>
  <c r="H75" i="112" s="1"/>
  <c r="I75" i="112" s="1"/>
  <c r="N13" i="114" s="1"/>
  <c r="B8" i="112"/>
  <c r="B10" i="112"/>
  <c r="H21" i="112"/>
  <c r="T17" i="113" s="1"/>
  <c r="B7" i="112"/>
  <c r="F7" i="112"/>
  <c r="D8" i="112"/>
  <c r="B9" i="112"/>
  <c r="F9" i="112"/>
  <c r="D10" i="112"/>
  <c r="B11" i="112"/>
  <c r="F11" i="112"/>
  <c r="D12" i="112"/>
  <c r="B13" i="112"/>
  <c r="F13" i="112"/>
  <c r="B12" i="112"/>
  <c r="C7" i="112"/>
  <c r="G7" i="112"/>
  <c r="H7" i="112" s="1"/>
  <c r="AF17" i="113" s="1"/>
  <c r="E8" i="112"/>
  <c r="C9" i="112"/>
  <c r="G9" i="112"/>
  <c r="E10" i="112"/>
  <c r="C11" i="112"/>
  <c r="G11" i="112"/>
  <c r="E12" i="112"/>
  <c r="I24" i="112"/>
  <c r="H25" i="112"/>
  <c r="T18" i="113" s="1"/>
  <c r="I86" i="112"/>
  <c r="I85" i="112" s="1"/>
  <c r="H85" i="112"/>
  <c r="I15" i="112"/>
  <c r="H37" i="112"/>
  <c r="T20" i="113" s="1"/>
  <c r="I45" i="112"/>
  <c r="H69" i="112"/>
  <c r="T24" i="113" s="1"/>
  <c r="H96" i="112"/>
  <c r="I109" i="112"/>
  <c r="H45" i="112"/>
  <c r="T21" i="113" s="1"/>
  <c r="I53" i="112"/>
  <c r="I78" i="112"/>
  <c r="I77" i="112" s="1"/>
  <c r="H77" i="112"/>
  <c r="H109" i="112"/>
  <c r="I126" i="112"/>
  <c r="H130" i="112"/>
  <c r="I131" i="112"/>
  <c r="I130" i="112" s="1"/>
  <c r="I69" i="112"/>
  <c r="T24" i="114" s="1"/>
  <c r="H10" i="112"/>
  <c r="I10" i="112" s="1"/>
  <c r="AF21" i="114" s="1"/>
  <c r="H11" i="112"/>
  <c r="I11" i="112" s="1"/>
  <c r="AF22" i="114" s="1"/>
  <c r="I61" i="112"/>
  <c r="I96" i="112"/>
  <c r="H102" i="112"/>
  <c r="I116" i="112"/>
  <c r="H126" i="112"/>
  <c r="F8" i="104"/>
  <c r="F12" i="104"/>
  <c r="H85" i="104"/>
  <c r="E7" i="104"/>
  <c r="C8" i="104"/>
  <c r="G8" i="104"/>
  <c r="H8" i="104" s="1"/>
  <c r="I8" i="104" s="1"/>
  <c r="E9" i="104"/>
  <c r="C10" i="104"/>
  <c r="G10" i="104"/>
  <c r="E11" i="104"/>
  <c r="C12" i="104"/>
  <c r="G12" i="104"/>
  <c r="H12" i="104" s="1"/>
  <c r="I12" i="104" s="1"/>
  <c r="E13" i="104"/>
  <c r="C75" i="104"/>
  <c r="G75" i="104"/>
  <c r="H75" i="104" s="1"/>
  <c r="I75" i="104" s="1"/>
  <c r="F10" i="104"/>
  <c r="B12" i="104"/>
  <c r="F75" i="104"/>
  <c r="H77" i="104"/>
  <c r="H116" i="104"/>
  <c r="B7" i="104"/>
  <c r="F7" i="104"/>
  <c r="D8" i="104"/>
  <c r="B9" i="104"/>
  <c r="F9" i="104"/>
  <c r="D10" i="104"/>
  <c r="B11" i="104"/>
  <c r="F11" i="104"/>
  <c r="D12" i="104"/>
  <c r="B13" i="104"/>
  <c r="B8" i="104"/>
  <c r="B10" i="104"/>
  <c r="C7" i="104"/>
  <c r="G7" i="104"/>
  <c r="H7" i="104" s="1"/>
  <c r="E8" i="104"/>
  <c r="C9" i="104"/>
  <c r="G9" i="104"/>
  <c r="E10" i="104"/>
  <c r="C11" i="104"/>
  <c r="G11" i="104"/>
  <c r="H11" i="104" s="1"/>
  <c r="I11" i="104" s="1"/>
  <c r="E12" i="104"/>
  <c r="I15" i="104"/>
  <c r="H21" i="104"/>
  <c r="T17" i="105" s="1"/>
  <c r="I53" i="104"/>
  <c r="T22" i="106" s="1"/>
  <c r="H10" i="104"/>
  <c r="I10" i="104" s="1"/>
  <c r="H53" i="104"/>
  <c r="T22" i="105" s="1"/>
  <c r="I61" i="104"/>
  <c r="T23" i="106" s="1"/>
  <c r="I77" i="104"/>
  <c r="H96" i="104"/>
  <c r="I109" i="104"/>
  <c r="H5" i="104"/>
  <c r="H25" i="104"/>
  <c r="T18" i="105" s="1"/>
  <c r="I37" i="104"/>
  <c r="T20" i="106" s="1"/>
  <c r="H61" i="104"/>
  <c r="T23" i="105" s="1"/>
  <c r="I69" i="104"/>
  <c r="H109" i="104"/>
  <c r="I126" i="104"/>
  <c r="H130" i="104"/>
  <c r="I131" i="104"/>
  <c r="I130" i="104" s="1"/>
  <c r="H45" i="104"/>
  <c r="T21" i="105" s="1"/>
  <c r="I25" i="104"/>
  <c r="T18" i="106" s="1"/>
  <c r="H37" i="104"/>
  <c r="T20" i="105" s="1"/>
  <c r="I45" i="104"/>
  <c r="T21" i="106" s="1"/>
  <c r="H69" i="104"/>
  <c r="T24" i="105" s="1"/>
  <c r="I96" i="104"/>
  <c r="H102" i="104"/>
  <c r="I116" i="104"/>
  <c r="H126" i="104"/>
  <c r="G128" i="93"/>
  <c r="H128" i="93" s="1"/>
  <c r="I128" i="93" s="1"/>
  <c r="F128" i="93"/>
  <c r="E128" i="93"/>
  <c r="D128" i="93"/>
  <c r="C128" i="93"/>
  <c r="B128" i="93"/>
  <c r="G127" i="93"/>
  <c r="F127" i="93"/>
  <c r="E127" i="93"/>
  <c r="D127" i="93"/>
  <c r="C127" i="93"/>
  <c r="B127" i="93"/>
  <c r="G126" i="93"/>
  <c r="F126" i="93"/>
  <c r="E126" i="93"/>
  <c r="D126" i="93"/>
  <c r="C126" i="93"/>
  <c r="B126" i="93"/>
  <c r="G125" i="93"/>
  <c r="F125" i="93"/>
  <c r="E125" i="93"/>
  <c r="D125" i="93"/>
  <c r="C125" i="93"/>
  <c r="B125" i="93"/>
  <c r="G124" i="93"/>
  <c r="H124" i="93" s="1"/>
  <c r="I124" i="93" s="1"/>
  <c r="F124" i="93"/>
  <c r="E124" i="93"/>
  <c r="D124" i="93"/>
  <c r="C124" i="93"/>
  <c r="B124" i="93"/>
  <c r="G123" i="93"/>
  <c r="H123" i="93" s="1"/>
  <c r="I123" i="93" s="1"/>
  <c r="F123" i="93"/>
  <c r="E123" i="93"/>
  <c r="D123" i="93"/>
  <c r="C123" i="93"/>
  <c r="B123" i="93"/>
  <c r="G121" i="93"/>
  <c r="F121" i="93"/>
  <c r="E121" i="93"/>
  <c r="D121" i="93"/>
  <c r="C121" i="93"/>
  <c r="B121" i="93"/>
  <c r="G120" i="93"/>
  <c r="F120" i="93"/>
  <c r="E120" i="93"/>
  <c r="D120" i="93"/>
  <c r="C120" i="93"/>
  <c r="B120" i="93"/>
  <c r="G119" i="93"/>
  <c r="F119" i="93"/>
  <c r="E119" i="93"/>
  <c r="D119" i="93"/>
  <c r="C119" i="93"/>
  <c r="B119" i="93"/>
  <c r="G118" i="93"/>
  <c r="H118" i="93" s="1"/>
  <c r="I118" i="93" s="1"/>
  <c r="F118" i="93"/>
  <c r="E118" i="93"/>
  <c r="D118" i="93"/>
  <c r="C118" i="93"/>
  <c r="B118" i="93"/>
  <c r="G117" i="93"/>
  <c r="F117" i="93"/>
  <c r="E117" i="93"/>
  <c r="D117" i="93"/>
  <c r="C117" i="93"/>
  <c r="B117" i="93"/>
  <c r="G116" i="93"/>
  <c r="F116" i="93"/>
  <c r="E116" i="93"/>
  <c r="D116" i="93"/>
  <c r="C116" i="93"/>
  <c r="B116" i="93"/>
  <c r="G114" i="93"/>
  <c r="H114" i="93" s="1"/>
  <c r="I114" i="93" s="1"/>
  <c r="F114" i="93"/>
  <c r="E114" i="93"/>
  <c r="D114" i="93"/>
  <c r="C114" i="93"/>
  <c r="B114" i="93"/>
  <c r="G113" i="93"/>
  <c r="H113" i="93" s="1"/>
  <c r="I113" i="93" s="1"/>
  <c r="F113" i="93"/>
  <c r="E113" i="93"/>
  <c r="D113" i="93"/>
  <c r="C113" i="93"/>
  <c r="B113" i="93"/>
  <c r="G112" i="93"/>
  <c r="F112" i="93"/>
  <c r="E112" i="93"/>
  <c r="D112" i="93"/>
  <c r="C112" i="93"/>
  <c r="B112" i="93"/>
  <c r="G111" i="93"/>
  <c r="F111" i="93"/>
  <c r="E111" i="93"/>
  <c r="D111" i="93"/>
  <c r="C111" i="93"/>
  <c r="B111" i="93"/>
  <c r="G110" i="93"/>
  <c r="H110" i="93" s="1"/>
  <c r="I110" i="93" s="1"/>
  <c r="F110" i="93"/>
  <c r="E110" i="93"/>
  <c r="D110" i="93"/>
  <c r="C110" i="93"/>
  <c r="B110" i="93"/>
  <c r="G109" i="93"/>
  <c r="F109" i="93"/>
  <c r="E109" i="93"/>
  <c r="D109" i="93"/>
  <c r="C109" i="93"/>
  <c r="B109" i="93"/>
  <c r="G107" i="93"/>
  <c r="F107" i="93"/>
  <c r="E107" i="93"/>
  <c r="D107" i="93"/>
  <c r="C107" i="93"/>
  <c r="B107" i="93"/>
  <c r="H106" i="93"/>
  <c r="G105" i="93"/>
  <c r="H105" i="93" s="1"/>
  <c r="I105" i="93" s="1"/>
  <c r="T10" i="91" s="1"/>
  <c r="F105" i="93"/>
  <c r="E105" i="93"/>
  <c r="D105" i="93"/>
  <c r="C105" i="93"/>
  <c r="B105" i="93"/>
  <c r="G104" i="93"/>
  <c r="F104" i="93"/>
  <c r="E104" i="93"/>
  <c r="D104" i="93"/>
  <c r="C104" i="93"/>
  <c r="B104" i="93"/>
  <c r="G101" i="93"/>
  <c r="F101" i="93"/>
  <c r="E101" i="93"/>
  <c r="D101" i="93"/>
  <c r="D102" i="93" s="1"/>
  <c r="C101" i="93"/>
  <c r="C102" i="93" s="1"/>
  <c r="B101" i="93"/>
  <c r="G98" i="93"/>
  <c r="F98" i="93"/>
  <c r="F99" i="93" s="1"/>
  <c r="E98" i="93"/>
  <c r="D98" i="93"/>
  <c r="C98" i="93"/>
  <c r="B98" i="93"/>
  <c r="B99" i="93" s="1"/>
  <c r="G95" i="93"/>
  <c r="H95" i="93" s="1"/>
  <c r="I95" i="93" s="1"/>
  <c r="F95" i="93"/>
  <c r="E95" i="93"/>
  <c r="D95" i="93"/>
  <c r="D96" i="93" s="1"/>
  <c r="C95" i="93"/>
  <c r="B95" i="93"/>
  <c r="G94" i="93"/>
  <c r="H94" i="93" s="1"/>
  <c r="I94" i="93" s="1"/>
  <c r="F94" i="93"/>
  <c r="F96" i="93" s="1"/>
  <c r="E94" i="93"/>
  <c r="D94" i="93"/>
  <c r="C94" i="93"/>
  <c r="B94" i="93"/>
  <c r="B96" i="93" s="1"/>
  <c r="G90" i="93"/>
  <c r="F90" i="93"/>
  <c r="E90" i="93"/>
  <c r="D90" i="93"/>
  <c r="C90" i="93"/>
  <c r="B90" i="93"/>
  <c r="G88" i="93"/>
  <c r="F88" i="93"/>
  <c r="E88" i="93"/>
  <c r="D88" i="93"/>
  <c r="C88" i="93"/>
  <c r="B88" i="93"/>
  <c r="G86" i="93"/>
  <c r="H86" i="93" s="1"/>
  <c r="F86" i="93"/>
  <c r="E86" i="93"/>
  <c r="D86" i="93"/>
  <c r="C86" i="93"/>
  <c r="B86" i="93"/>
  <c r="G85" i="93"/>
  <c r="F85" i="93"/>
  <c r="E85" i="93"/>
  <c r="D85" i="93"/>
  <c r="C85" i="93"/>
  <c r="B85" i="93"/>
  <c r="G83" i="93"/>
  <c r="F83" i="93"/>
  <c r="E83" i="93"/>
  <c r="D83" i="93"/>
  <c r="C83" i="93"/>
  <c r="B83" i="93"/>
  <c r="G82" i="93"/>
  <c r="H82" i="93" s="1"/>
  <c r="I82" i="93" s="1"/>
  <c r="F82" i="93"/>
  <c r="E82" i="93"/>
  <c r="D82" i="93"/>
  <c r="C82" i="93"/>
  <c r="B82" i="93"/>
  <c r="G81" i="93"/>
  <c r="H81" i="93" s="1"/>
  <c r="I81" i="93" s="1"/>
  <c r="F81" i="93"/>
  <c r="E81" i="93"/>
  <c r="D81" i="93"/>
  <c r="C81" i="93"/>
  <c r="B81" i="93"/>
  <c r="G80" i="93"/>
  <c r="F80" i="93"/>
  <c r="E80" i="93"/>
  <c r="D80" i="93"/>
  <c r="C80" i="93"/>
  <c r="B80" i="93"/>
  <c r="G79" i="93"/>
  <c r="F79" i="93"/>
  <c r="E79" i="93"/>
  <c r="D79" i="93"/>
  <c r="C79" i="93"/>
  <c r="B79" i="93"/>
  <c r="G78" i="93"/>
  <c r="H78" i="93" s="1"/>
  <c r="F78" i="93"/>
  <c r="E78" i="93"/>
  <c r="D78" i="93"/>
  <c r="C78" i="93"/>
  <c r="B78" i="93"/>
  <c r="G77" i="93"/>
  <c r="F77" i="93"/>
  <c r="E77" i="93"/>
  <c r="D77" i="93"/>
  <c r="C77" i="93"/>
  <c r="B77" i="93"/>
  <c r="G73" i="93"/>
  <c r="H73" i="93" s="1"/>
  <c r="I73" i="93" s="1"/>
  <c r="F73" i="93"/>
  <c r="E73" i="93"/>
  <c r="D73" i="93"/>
  <c r="C73" i="93"/>
  <c r="B73" i="93"/>
  <c r="G72" i="93"/>
  <c r="F72" i="93"/>
  <c r="E72" i="93"/>
  <c r="D72" i="93"/>
  <c r="C72" i="93"/>
  <c r="B72" i="93"/>
  <c r="G70" i="93"/>
  <c r="F70" i="93"/>
  <c r="E70" i="93"/>
  <c r="D70" i="93"/>
  <c r="C70" i="93"/>
  <c r="B70" i="93"/>
  <c r="G69" i="93"/>
  <c r="F69" i="93"/>
  <c r="E69" i="93"/>
  <c r="D69" i="93"/>
  <c r="C69" i="93"/>
  <c r="B69" i="93"/>
  <c r="G68" i="93"/>
  <c r="F68" i="93"/>
  <c r="E68" i="93"/>
  <c r="D68" i="93"/>
  <c r="C68" i="93"/>
  <c r="B68" i="93"/>
  <c r="G67" i="93"/>
  <c r="F67" i="93"/>
  <c r="E67" i="93"/>
  <c r="D67" i="93"/>
  <c r="C67" i="93"/>
  <c r="B67" i="93"/>
  <c r="G66" i="93"/>
  <c r="H66" i="93" s="1"/>
  <c r="I66" i="93" s="1"/>
  <c r="F66" i="93"/>
  <c r="E66" i="93"/>
  <c r="D66" i="93"/>
  <c r="C66" i="93"/>
  <c r="G65" i="93"/>
  <c r="F65" i="93"/>
  <c r="E65" i="93"/>
  <c r="D65" i="93"/>
  <c r="C65" i="93"/>
  <c r="B65" i="93"/>
  <c r="G64" i="93"/>
  <c r="F64" i="93"/>
  <c r="E64" i="93"/>
  <c r="D64" i="93"/>
  <c r="C64" i="93"/>
  <c r="B64" i="93"/>
  <c r="H57" i="93"/>
  <c r="I57" i="93" s="1"/>
  <c r="G54" i="93"/>
  <c r="F54" i="93"/>
  <c r="E54" i="93"/>
  <c r="D54" i="93"/>
  <c r="C54" i="93"/>
  <c r="B54" i="93"/>
  <c r="G53" i="93"/>
  <c r="F53" i="93"/>
  <c r="E53" i="93"/>
  <c r="D53" i="93"/>
  <c r="C53" i="93"/>
  <c r="B53" i="93"/>
  <c r="G52" i="93"/>
  <c r="H52" i="93" s="1"/>
  <c r="F52" i="93"/>
  <c r="E52" i="93"/>
  <c r="D52" i="93"/>
  <c r="C52" i="93"/>
  <c r="B52" i="93"/>
  <c r="G51" i="93"/>
  <c r="F51" i="93"/>
  <c r="E51" i="93"/>
  <c r="D51" i="93"/>
  <c r="C51" i="93"/>
  <c r="B51" i="93"/>
  <c r="G50" i="93"/>
  <c r="H50" i="93" s="1"/>
  <c r="I50" i="93" s="1"/>
  <c r="F50" i="93"/>
  <c r="E50" i="93"/>
  <c r="D50" i="93"/>
  <c r="C50" i="93"/>
  <c r="B50" i="93"/>
  <c r="G49" i="93"/>
  <c r="F49" i="93"/>
  <c r="E49" i="93"/>
  <c r="D49" i="93"/>
  <c r="C49" i="93"/>
  <c r="B49" i="93"/>
  <c r="G48" i="93"/>
  <c r="F48" i="93"/>
  <c r="E48" i="93"/>
  <c r="D48" i="93"/>
  <c r="C48" i="93"/>
  <c r="B48" i="93"/>
  <c r="G46" i="93"/>
  <c r="F46" i="93"/>
  <c r="E46" i="93"/>
  <c r="D46" i="93"/>
  <c r="C46" i="93"/>
  <c r="B46" i="93"/>
  <c r="G45" i="93"/>
  <c r="F45" i="93"/>
  <c r="E45" i="93"/>
  <c r="D45" i="93"/>
  <c r="C45" i="93"/>
  <c r="B45" i="93"/>
  <c r="G44" i="93"/>
  <c r="H44" i="93" s="1"/>
  <c r="I44" i="93" s="1"/>
  <c r="F44" i="93"/>
  <c r="E44" i="93"/>
  <c r="D44" i="93"/>
  <c r="C44" i="93"/>
  <c r="B44" i="93"/>
  <c r="G43" i="93"/>
  <c r="H43" i="93" s="1"/>
  <c r="I43" i="93" s="1"/>
  <c r="F43" i="93"/>
  <c r="E43" i="93"/>
  <c r="D43" i="93"/>
  <c r="C43" i="93"/>
  <c r="B43" i="93"/>
  <c r="G42" i="93"/>
  <c r="H42" i="93" s="1"/>
  <c r="I42" i="93" s="1"/>
  <c r="F42" i="93"/>
  <c r="E42" i="93"/>
  <c r="D42" i="93"/>
  <c r="C42" i="93"/>
  <c r="B42" i="93"/>
  <c r="G41" i="93"/>
  <c r="H41" i="93" s="1"/>
  <c r="I41" i="93" s="1"/>
  <c r="F41" i="93"/>
  <c r="E41" i="93"/>
  <c r="D41" i="93"/>
  <c r="C41" i="93"/>
  <c r="B41" i="93"/>
  <c r="G40" i="93"/>
  <c r="H40" i="93" s="1"/>
  <c r="F40" i="93"/>
  <c r="E40" i="93"/>
  <c r="D40" i="93"/>
  <c r="C40" i="93"/>
  <c r="B40" i="93"/>
  <c r="G38" i="93"/>
  <c r="H38" i="93" s="1"/>
  <c r="F38" i="93"/>
  <c r="E38" i="93"/>
  <c r="D38" i="93"/>
  <c r="C38" i="93"/>
  <c r="B38" i="93"/>
  <c r="G37" i="93"/>
  <c r="F37" i="93"/>
  <c r="E37" i="93"/>
  <c r="D37" i="93"/>
  <c r="C37" i="93"/>
  <c r="B37" i="93"/>
  <c r="G36" i="93"/>
  <c r="F36" i="93"/>
  <c r="E36" i="93"/>
  <c r="D36" i="93"/>
  <c r="C36" i="93"/>
  <c r="B36" i="93"/>
  <c r="G35" i="93"/>
  <c r="F35" i="93"/>
  <c r="E35" i="93"/>
  <c r="D35" i="93"/>
  <c r="C35" i="93"/>
  <c r="B35" i="93"/>
  <c r="G34" i="93"/>
  <c r="H34" i="93" s="1"/>
  <c r="I34" i="93" s="1"/>
  <c r="F34" i="93"/>
  <c r="E34" i="93"/>
  <c r="D34" i="93"/>
  <c r="C34" i="93"/>
  <c r="B34" i="93"/>
  <c r="G33" i="93"/>
  <c r="F33" i="93"/>
  <c r="E33" i="93"/>
  <c r="D33" i="93"/>
  <c r="C33" i="93"/>
  <c r="B33" i="93"/>
  <c r="G32" i="93"/>
  <c r="F32" i="93"/>
  <c r="E32" i="93"/>
  <c r="D32" i="93"/>
  <c r="C32" i="93"/>
  <c r="B32" i="93"/>
  <c r="G30" i="93"/>
  <c r="F30" i="93"/>
  <c r="E30" i="93"/>
  <c r="D30" i="93"/>
  <c r="C30" i="93"/>
  <c r="B30" i="93"/>
  <c r="G29" i="93"/>
  <c r="H29" i="93" s="1"/>
  <c r="I29" i="93" s="1"/>
  <c r="F29" i="93"/>
  <c r="E29" i="93"/>
  <c r="D29" i="93"/>
  <c r="C29" i="93"/>
  <c r="B29" i="93"/>
  <c r="G28" i="93"/>
  <c r="F28" i="93"/>
  <c r="E28" i="93"/>
  <c r="D28" i="93"/>
  <c r="C28" i="93"/>
  <c r="B28" i="93"/>
  <c r="G27" i="93"/>
  <c r="F27" i="93"/>
  <c r="E27" i="93"/>
  <c r="D27" i="93"/>
  <c r="C27" i="93"/>
  <c r="B27" i="93"/>
  <c r="G26" i="93"/>
  <c r="H26" i="93" s="1"/>
  <c r="I26" i="93" s="1"/>
  <c r="F26" i="93"/>
  <c r="E26" i="93"/>
  <c r="D26" i="93"/>
  <c r="C26" i="93"/>
  <c r="B26" i="93"/>
  <c r="G25" i="93"/>
  <c r="F25" i="93"/>
  <c r="E25" i="93"/>
  <c r="D25" i="93"/>
  <c r="C25" i="93"/>
  <c r="B25" i="93"/>
  <c r="G24" i="93"/>
  <c r="H24" i="93" s="1"/>
  <c r="F24" i="93"/>
  <c r="E24" i="93"/>
  <c r="D24" i="93"/>
  <c r="C24" i="93"/>
  <c r="B24" i="93"/>
  <c r="G22" i="93"/>
  <c r="F22" i="93"/>
  <c r="E22" i="93"/>
  <c r="D22" i="93"/>
  <c r="C22" i="93"/>
  <c r="B22" i="93"/>
  <c r="G21" i="93"/>
  <c r="F21" i="93"/>
  <c r="E21" i="93"/>
  <c r="D21" i="93"/>
  <c r="C21" i="93"/>
  <c r="B21" i="93"/>
  <c r="G20" i="93"/>
  <c r="H20" i="93" s="1"/>
  <c r="I20" i="93" s="1"/>
  <c r="F20" i="93"/>
  <c r="E20" i="93"/>
  <c r="D20" i="93"/>
  <c r="C20" i="93"/>
  <c r="B20" i="93"/>
  <c r="G19" i="93"/>
  <c r="F19" i="93"/>
  <c r="E19" i="93"/>
  <c r="D19" i="93"/>
  <c r="C19" i="93"/>
  <c r="B19" i="93"/>
  <c r="G18" i="93"/>
  <c r="H18" i="93" s="1"/>
  <c r="I18" i="93" s="1"/>
  <c r="F18" i="93"/>
  <c r="E18" i="93"/>
  <c r="D18" i="93"/>
  <c r="C18" i="93"/>
  <c r="B18" i="93"/>
  <c r="G17" i="93"/>
  <c r="F17" i="93"/>
  <c r="E17" i="93"/>
  <c r="D17" i="93"/>
  <c r="C17" i="93"/>
  <c r="B17" i="93"/>
  <c r="G16" i="93"/>
  <c r="H16" i="93" s="1"/>
  <c r="I16" i="93" s="1"/>
  <c r="F16" i="93"/>
  <c r="E16" i="93"/>
  <c r="D16" i="93"/>
  <c r="C16" i="93"/>
  <c r="B16" i="93"/>
  <c r="G15" i="93"/>
  <c r="H15" i="93" s="1"/>
  <c r="F15" i="93"/>
  <c r="E15" i="93"/>
  <c r="D15" i="93"/>
  <c r="C15" i="93"/>
  <c r="B15" i="93"/>
  <c r="G5" i="93"/>
  <c r="H5" i="93" s="1"/>
  <c r="F5" i="93"/>
  <c r="E5" i="93"/>
  <c r="D5" i="93"/>
  <c r="D13" i="93" s="1"/>
  <c r="C5" i="93"/>
  <c r="B5" i="93"/>
  <c r="G1" i="93"/>
  <c r="F1" i="93"/>
  <c r="E1" i="93"/>
  <c r="D1" i="93"/>
  <c r="C1" i="93"/>
  <c r="B1" i="93"/>
  <c r="L32" i="98"/>
  <c r="K32" i="98"/>
  <c r="J32" i="98"/>
  <c r="I32" i="98"/>
  <c r="H32" i="98"/>
  <c r="G32" i="98"/>
  <c r="F32" i="98"/>
  <c r="E32" i="98"/>
  <c r="D32" i="98"/>
  <c r="C32" i="98"/>
  <c r="B32" i="98"/>
  <c r="L32" i="97"/>
  <c r="K32" i="97"/>
  <c r="J32" i="97"/>
  <c r="I32" i="97"/>
  <c r="H32" i="97"/>
  <c r="G32" i="97"/>
  <c r="F32" i="97"/>
  <c r="E32" i="97"/>
  <c r="D32" i="97"/>
  <c r="C32" i="97"/>
  <c r="B32" i="97"/>
  <c r="L32" i="96"/>
  <c r="K32" i="96"/>
  <c r="J32" i="96"/>
  <c r="I32" i="96"/>
  <c r="H32" i="96"/>
  <c r="G32" i="96"/>
  <c r="F32" i="96"/>
  <c r="E32" i="96"/>
  <c r="D32" i="96"/>
  <c r="C32" i="96"/>
  <c r="B32" i="96"/>
  <c r="L32" i="95"/>
  <c r="K32" i="95"/>
  <c r="J32" i="95"/>
  <c r="I32" i="95"/>
  <c r="H32" i="95"/>
  <c r="G32" i="95"/>
  <c r="F32" i="95"/>
  <c r="E32" i="95"/>
  <c r="D32" i="95"/>
  <c r="C32" i="95"/>
  <c r="B32" i="95"/>
  <c r="L32" i="94"/>
  <c r="K32" i="94"/>
  <c r="J32" i="94"/>
  <c r="I32" i="94"/>
  <c r="H32" i="94"/>
  <c r="G32" i="94"/>
  <c r="F32" i="94"/>
  <c r="E32" i="94"/>
  <c r="D32" i="94"/>
  <c r="C32" i="94"/>
  <c r="B32" i="94"/>
  <c r="H142" i="93"/>
  <c r="I142" i="93" s="1"/>
  <c r="H141" i="93"/>
  <c r="I141" i="93" s="1"/>
  <c r="H140" i="93"/>
  <c r="I140" i="93" s="1"/>
  <c r="H139" i="93"/>
  <c r="I139" i="93" s="1"/>
  <c r="H132" i="93"/>
  <c r="I132" i="93" s="1"/>
  <c r="H131" i="93"/>
  <c r="H127" i="93"/>
  <c r="I127" i="93" s="1"/>
  <c r="H125" i="93"/>
  <c r="I125" i="93" s="1"/>
  <c r="H121" i="93"/>
  <c r="I121" i="93" s="1"/>
  <c r="H120" i="93"/>
  <c r="I120" i="93" s="1"/>
  <c r="H119" i="93"/>
  <c r="I119" i="93" s="1"/>
  <c r="H117" i="93"/>
  <c r="I117" i="93" s="1"/>
  <c r="H112" i="93"/>
  <c r="I112" i="93" s="1"/>
  <c r="H111" i="93"/>
  <c r="I111" i="93" s="1"/>
  <c r="H107" i="93"/>
  <c r="I107" i="93" s="1"/>
  <c r="T12" i="91" s="1"/>
  <c r="H104" i="93"/>
  <c r="I104" i="93" s="1"/>
  <c r="T9" i="91" s="1"/>
  <c r="H101" i="93"/>
  <c r="I101" i="93" s="1"/>
  <c r="I102" i="93" s="1"/>
  <c r="G102" i="93"/>
  <c r="F102" i="93"/>
  <c r="E102" i="93"/>
  <c r="B102" i="93"/>
  <c r="H98" i="93"/>
  <c r="I98" i="93" s="1"/>
  <c r="G99" i="93"/>
  <c r="E99" i="93"/>
  <c r="D99" i="93"/>
  <c r="C99" i="93"/>
  <c r="C96" i="93"/>
  <c r="H92" i="93"/>
  <c r="I92" i="93" s="1"/>
  <c r="H90" i="93"/>
  <c r="I90" i="93" s="1"/>
  <c r="H88" i="93"/>
  <c r="I88" i="93" s="1"/>
  <c r="H83" i="93"/>
  <c r="I83" i="93" s="1"/>
  <c r="H80" i="93"/>
  <c r="I80" i="93" s="1"/>
  <c r="H79" i="93"/>
  <c r="I79" i="93" s="1"/>
  <c r="H76" i="93"/>
  <c r="I76" i="93" s="1"/>
  <c r="H72" i="93"/>
  <c r="I72" i="93" s="1"/>
  <c r="H70" i="93"/>
  <c r="I70" i="93" s="1"/>
  <c r="H68" i="93"/>
  <c r="I68" i="93" s="1"/>
  <c r="H67" i="93"/>
  <c r="I67" i="93" s="1"/>
  <c r="H65" i="93"/>
  <c r="I65" i="93" s="1"/>
  <c r="H64" i="93"/>
  <c r="H62" i="93"/>
  <c r="I62" i="93" s="1"/>
  <c r="H60" i="93"/>
  <c r="I60" i="93" s="1"/>
  <c r="H59" i="93"/>
  <c r="I59" i="93" s="1"/>
  <c r="H58" i="93"/>
  <c r="I58" i="93" s="1"/>
  <c r="H56" i="93"/>
  <c r="I56" i="93" s="1"/>
  <c r="H54" i="93"/>
  <c r="I54" i="93" s="1"/>
  <c r="H51" i="93"/>
  <c r="I51" i="93" s="1"/>
  <c r="H49" i="93"/>
  <c r="I49" i="93" s="1"/>
  <c r="H48" i="93"/>
  <c r="I48" i="93" s="1"/>
  <c r="H46" i="93"/>
  <c r="I46" i="93" s="1"/>
  <c r="H36" i="93"/>
  <c r="I36" i="93" s="1"/>
  <c r="H35" i="93"/>
  <c r="I35" i="93" s="1"/>
  <c r="H33" i="93"/>
  <c r="I33" i="93" s="1"/>
  <c r="H32" i="93"/>
  <c r="I32" i="93" s="1"/>
  <c r="H30" i="93"/>
  <c r="I30" i="93" s="1"/>
  <c r="H28" i="93"/>
  <c r="I28" i="93" s="1"/>
  <c r="H27" i="93"/>
  <c r="I27" i="93" s="1"/>
  <c r="H22" i="93"/>
  <c r="I22" i="93" s="1"/>
  <c r="H19" i="93"/>
  <c r="I19" i="93" s="1"/>
  <c r="H17" i="93"/>
  <c r="I17" i="93" s="1"/>
  <c r="AE19" i="92"/>
  <c r="AD19" i="92"/>
  <c r="AC19" i="92"/>
  <c r="AB19" i="92"/>
  <c r="AA19" i="92"/>
  <c r="Z19" i="92"/>
  <c r="Y19" i="92"/>
  <c r="X19" i="92"/>
  <c r="W19" i="92"/>
  <c r="V19" i="92"/>
  <c r="M19" i="92"/>
  <c r="M16" i="92" s="1"/>
  <c r="H19" i="92"/>
  <c r="H16" i="92" s="1"/>
  <c r="G19" i="92"/>
  <c r="G16" i="92" s="1"/>
  <c r="D19" i="92"/>
  <c r="N15" i="92"/>
  <c r="S13" i="92"/>
  <c r="V8" i="92"/>
  <c r="M8" i="92"/>
  <c r="N7" i="92"/>
  <c r="N5" i="92"/>
  <c r="U4" i="92"/>
  <c r="AH4" i="92" s="1"/>
  <c r="AE19" i="91"/>
  <c r="AD19" i="91"/>
  <c r="AC19" i="91"/>
  <c r="AB19" i="91"/>
  <c r="AA19" i="91"/>
  <c r="Z19" i="91"/>
  <c r="Y19" i="91"/>
  <c r="X19" i="91"/>
  <c r="W19" i="91"/>
  <c r="V19" i="91"/>
  <c r="M19" i="91"/>
  <c r="H19" i="91"/>
  <c r="G19" i="91"/>
  <c r="G16" i="91" s="1"/>
  <c r="D19" i="91"/>
  <c r="M16" i="91"/>
  <c r="H16" i="91"/>
  <c r="N15" i="91"/>
  <c r="S13" i="91"/>
  <c r="V8" i="91"/>
  <c r="M8" i="91"/>
  <c r="N7" i="91"/>
  <c r="N5" i="91"/>
  <c r="U4" i="91"/>
  <c r="AH4" i="91" s="1"/>
  <c r="L8" i="90"/>
  <c r="L8" i="89"/>
  <c r="G128" i="88"/>
  <c r="H128" i="88" s="1"/>
  <c r="I128" i="88" s="1"/>
  <c r="F128" i="88"/>
  <c r="E128" i="88"/>
  <c r="D128" i="88"/>
  <c r="C128" i="88"/>
  <c r="B128" i="88"/>
  <c r="G127" i="88"/>
  <c r="F127" i="88"/>
  <c r="E127" i="88"/>
  <c r="D127" i="88"/>
  <c r="C127" i="88"/>
  <c r="B127" i="88"/>
  <c r="G126" i="88"/>
  <c r="F126" i="88"/>
  <c r="E126" i="88"/>
  <c r="D126" i="88"/>
  <c r="C126" i="88"/>
  <c r="B126" i="88"/>
  <c r="G125" i="88"/>
  <c r="F125" i="88"/>
  <c r="E125" i="88"/>
  <c r="D125" i="88"/>
  <c r="C125" i="88"/>
  <c r="B125" i="88"/>
  <c r="G124" i="88"/>
  <c r="F124" i="88"/>
  <c r="E124" i="88"/>
  <c r="D124" i="88"/>
  <c r="C124" i="88"/>
  <c r="B124" i="88"/>
  <c r="G123" i="88"/>
  <c r="F123" i="88"/>
  <c r="E123" i="88"/>
  <c r="D123" i="88"/>
  <c r="C123" i="88"/>
  <c r="B123" i="88"/>
  <c r="G121" i="88"/>
  <c r="H121" i="88" s="1"/>
  <c r="I121" i="88" s="1"/>
  <c r="F121" i="88"/>
  <c r="E121" i="88"/>
  <c r="D121" i="88"/>
  <c r="C121" i="88"/>
  <c r="B121" i="88"/>
  <c r="G120" i="88"/>
  <c r="F120" i="88"/>
  <c r="E120" i="88"/>
  <c r="D120" i="88"/>
  <c r="C120" i="88"/>
  <c r="B120" i="88"/>
  <c r="G119" i="88"/>
  <c r="F119" i="88"/>
  <c r="E119" i="88"/>
  <c r="D119" i="88"/>
  <c r="C119" i="88"/>
  <c r="B119" i="88"/>
  <c r="G118" i="88"/>
  <c r="F118" i="88"/>
  <c r="E118" i="88"/>
  <c r="D118" i="88"/>
  <c r="C118" i="88"/>
  <c r="B118" i="88"/>
  <c r="G117" i="88"/>
  <c r="H117" i="88" s="1"/>
  <c r="I117" i="88" s="1"/>
  <c r="F117" i="88"/>
  <c r="E117" i="88"/>
  <c r="D117" i="88"/>
  <c r="C117" i="88"/>
  <c r="B117" i="88"/>
  <c r="G116" i="88"/>
  <c r="F116" i="88"/>
  <c r="E116" i="88"/>
  <c r="D116" i="88"/>
  <c r="C116" i="88"/>
  <c r="B116" i="88"/>
  <c r="G114" i="88"/>
  <c r="F114" i="88"/>
  <c r="E114" i="88"/>
  <c r="D114" i="88"/>
  <c r="C114" i="88"/>
  <c r="B114" i="88"/>
  <c r="G113" i="88"/>
  <c r="F113" i="88"/>
  <c r="E113" i="88"/>
  <c r="D113" i="88"/>
  <c r="C113" i="88"/>
  <c r="B113" i="88"/>
  <c r="G112" i="88"/>
  <c r="H112" i="88" s="1"/>
  <c r="I112" i="88" s="1"/>
  <c r="F112" i="88"/>
  <c r="E112" i="88"/>
  <c r="D112" i="88"/>
  <c r="C112" i="88"/>
  <c r="B112" i="88"/>
  <c r="G111" i="88"/>
  <c r="F111" i="88"/>
  <c r="E111" i="88"/>
  <c r="D111" i="88"/>
  <c r="C111" i="88"/>
  <c r="B111" i="88"/>
  <c r="G110" i="88"/>
  <c r="F110" i="88"/>
  <c r="E110" i="88"/>
  <c r="D110" i="88"/>
  <c r="C110" i="88"/>
  <c r="B110" i="88"/>
  <c r="G109" i="88"/>
  <c r="F109" i="88"/>
  <c r="E109" i="88"/>
  <c r="D109" i="88"/>
  <c r="C109" i="88"/>
  <c r="B109" i="88"/>
  <c r="G107" i="88"/>
  <c r="F107" i="88"/>
  <c r="E107" i="88"/>
  <c r="D107" i="88"/>
  <c r="C107" i="88"/>
  <c r="B107" i="88"/>
  <c r="G105" i="88"/>
  <c r="H105" i="88" s="1"/>
  <c r="F105" i="88"/>
  <c r="E105" i="88"/>
  <c r="D105" i="88"/>
  <c r="C105" i="88"/>
  <c r="B105" i="88"/>
  <c r="G104" i="88"/>
  <c r="F104" i="88"/>
  <c r="E104" i="88"/>
  <c r="D104" i="88"/>
  <c r="C104" i="88"/>
  <c r="B104" i="88"/>
  <c r="G101" i="88"/>
  <c r="H101" i="88" s="1"/>
  <c r="I101" i="88" s="1"/>
  <c r="I102" i="88" s="1"/>
  <c r="F101" i="88"/>
  <c r="F102" i="88" s="1"/>
  <c r="E101" i="88"/>
  <c r="D101" i="88"/>
  <c r="C101" i="88"/>
  <c r="C102" i="88" s="1"/>
  <c r="B101" i="88"/>
  <c r="B102" i="88" s="1"/>
  <c r="G98" i="88"/>
  <c r="F98" i="88"/>
  <c r="F99" i="88" s="1"/>
  <c r="E98" i="88"/>
  <c r="E99" i="88" s="1"/>
  <c r="D98" i="88"/>
  <c r="D99" i="88" s="1"/>
  <c r="C98" i="88"/>
  <c r="B98" i="88"/>
  <c r="B99" i="88" s="1"/>
  <c r="G95" i="88"/>
  <c r="G96" i="88" s="1"/>
  <c r="F95" i="88"/>
  <c r="E95" i="88"/>
  <c r="D95" i="88"/>
  <c r="C95" i="88"/>
  <c r="B95" i="88"/>
  <c r="G94" i="88"/>
  <c r="F94" i="88"/>
  <c r="E94" i="88"/>
  <c r="D94" i="88"/>
  <c r="C94" i="88"/>
  <c r="B94" i="88"/>
  <c r="G90" i="88"/>
  <c r="F90" i="88"/>
  <c r="E90" i="88"/>
  <c r="D90" i="88"/>
  <c r="C90" i="88"/>
  <c r="B90" i="88"/>
  <c r="G88" i="88"/>
  <c r="F88" i="88"/>
  <c r="E88" i="88"/>
  <c r="D88" i="88"/>
  <c r="C88" i="88"/>
  <c r="B88" i="88"/>
  <c r="G86" i="88"/>
  <c r="F86" i="88"/>
  <c r="E86" i="88"/>
  <c r="D86" i="88"/>
  <c r="C86" i="88"/>
  <c r="B86" i="88"/>
  <c r="G85" i="88"/>
  <c r="F85" i="88"/>
  <c r="E85" i="88"/>
  <c r="D85" i="88"/>
  <c r="C85" i="88"/>
  <c r="B85" i="88"/>
  <c r="G83" i="88"/>
  <c r="F83" i="88"/>
  <c r="E83" i="88"/>
  <c r="D83" i="88"/>
  <c r="C83" i="88"/>
  <c r="B83" i="88"/>
  <c r="G82" i="88"/>
  <c r="F82" i="88"/>
  <c r="E82" i="88"/>
  <c r="D82" i="88"/>
  <c r="C82" i="88"/>
  <c r="B82" i="88"/>
  <c r="G81" i="88"/>
  <c r="H81" i="88" s="1"/>
  <c r="I81" i="88" s="1"/>
  <c r="F81" i="88"/>
  <c r="E81" i="88"/>
  <c r="D81" i="88"/>
  <c r="C81" i="88"/>
  <c r="B81" i="88"/>
  <c r="G80" i="88"/>
  <c r="F80" i="88"/>
  <c r="E80" i="88"/>
  <c r="D80" i="88"/>
  <c r="C80" i="88"/>
  <c r="B80" i="88"/>
  <c r="G79" i="88"/>
  <c r="F79" i="88"/>
  <c r="E79" i="88"/>
  <c r="D79" i="88"/>
  <c r="C79" i="88"/>
  <c r="B79" i="88"/>
  <c r="G78" i="88"/>
  <c r="F78" i="88"/>
  <c r="E78" i="88"/>
  <c r="D78" i="88"/>
  <c r="C78" i="88"/>
  <c r="B78" i="88"/>
  <c r="G77" i="88"/>
  <c r="F77" i="88"/>
  <c r="E77" i="88"/>
  <c r="D77" i="88"/>
  <c r="C77" i="88"/>
  <c r="B77" i="88"/>
  <c r="G73" i="88"/>
  <c r="F73" i="88"/>
  <c r="E73" i="88"/>
  <c r="D73" i="88"/>
  <c r="C73" i="88"/>
  <c r="B73" i="88"/>
  <c r="G72" i="88"/>
  <c r="H72" i="88" s="1"/>
  <c r="I72" i="88" s="1"/>
  <c r="F72" i="88"/>
  <c r="E72" i="88"/>
  <c r="D72" i="88"/>
  <c r="C72" i="88"/>
  <c r="B72" i="88"/>
  <c r="G70" i="88"/>
  <c r="F70" i="88"/>
  <c r="E70" i="88"/>
  <c r="D70" i="88"/>
  <c r="C70" i="88"/>
  <c r="B70" i="88"/>
  <c r="G69" i="88"/>
  <c r="F69" i="88"/>
  <c r="E69" i="88"/>
  <c r="D69" i="88"/>
  <c r="C69" i="88"/>
  <c r="B69" i="88"/>
  <c r="G68" i="88"/>
  <c r="F68" i="88"/>
  <c r="E68" i="88"/>
  <c r="D68" i="88"/>
  <c r="C68" i="88"/>
  <c r="B68" i="88"/>
  <c r="G67" i="88"/>
  <c r="H67" i="88" s="1"/>
  <c r="I67" i="88" s="1"/>
  <c r="F67" i="88"/>
  <c r="E67" i="88"/>
  <c r="D67" i="88"/>
  <c r="C67" i="88"/>
  <c r="B67" i="88"/>
  <c r="G66" i="88"/>
  <c r="F66" i="88"/>
  <c r="E66" i="88"/>
  <c r="D66" i="88"/>
  <c r="C66" i="88"/>
  <c r="B66" i="88"/>
  <c r="G65" i="88"/>
  <c r="H65" i="88" s="1"/>
  <c r="I65" i="88" s="1"/>
  <c r="F65" i="88"/>
  <c r="E65" i="88"/>
  <c r="D65" i="88"/>
  <c r="C65" i="88"/>
  <c r="B65" i="88"/>
  <c r="G64" i="88"/>
  <c r="F64" i="88"/>
  <c r="E64" i="88"/>
  <c r="D64" i="88"/>
  <c r="C64" i="88"/>
  <c r="B64" i="88"/>
  <c r="G62" i="88"/>
  <c r="F62" i="88"/>
  <c r="E62" i="88"/>
  <c r="D62" i="88"/>
  <c r="C62" i="88"/>
  <c r="G61" i="88"/>
  <c r="F61" i="88"/>
  <c r="E61" i="88"/>
  <c r="D61" i="88"/>
  <c r="C61" i="88"/>
  <c r="G60" i="88"/>
  <c r="H60" i="88" s="1"/>
  <c r="I60" i="88" s="1"/>
  <c r="F60" i="88"/>
  <c r="E60" i="88"/>
  <c r="D60" i="88"/>
  <c r="C60" i="88"/>
  <c r="G59" i="88"/>
  <c r="H59" i="88" s="1"/>
  <c r="I59" i="88" s="1"/>
  <c r="F59" i="88"/>
  <c r="E59" i="88"/>
  <c r="D59" i="88"/>
  <c r="C59" i="88"/>
  <c r="G58" i="88"/>
  <c r="H58" i="88" s="1"/>
  <c r="I58" i="88" s="1"/>
  <c r="F58" i="88"/>
  <c r="E58" i="88"/>
  <c r="D58" i="88"/>
  <c r="C58" i="88"/>
  <c r="G57" i="88"/>
  <c r="H57" i="88" s="1"/>
  <c r="I57" i="88" s="1"/>
  <c r="F57" i="88"/>
  <c r="E57" i="88"/>
  <c r="D57" i="88"/>
  <c r="C57" i="88"/>
  <c r="G56" i="88"/>
  <c r="F56" i="88"/>
  <c r="E56" i="88"/>
  <c r="D56" i="88"/>
  <c r="C56" i="88"/>
  <c r="G54" i="88"/>
  <c r="F54" i="88"/>
  <c r="E54" i="88"/>
  <c r="D54" i="88"/>
  <c r="C54" i="88"/>
  <c r="B54" i="88"/>
  <c r="G53" i="88"/>
  <c r="F53" i="88"/>
  <c r="E53" i="88"/>
  <c r="D53" i="88"/>
  <c r="C53" i="88"/>
  <c r="B53" i="88"/>
  <c r="G52" i="88"/>
  <c r="H52" i="88" s="1"/>
  <c r="I52" i="88" s="1"/>
  <c r="F52" i="88"/>
  <c r="E52" i="88"/>
  <c r="D52" i="88"/>
  <c r="C52" i="88"/>
  <c r="B52" i="88"/>
  <c r="G51" i="88"/>
  <c r="F51" i="88"/>
  <c r="E51" i="88"/>
  <c r="D51" i="88"/>
  <c r="C51" i="88"/>
  <c r="B51" i="88"/>
  <c r="G50" i="88"/>
  <c r="F50" i="88"/>
  <c r="E50" i="88"/>
  <c r="D50" i="88"/>
  <c r="C50" i="88"/>
  <c r="B50" i="88"/>
  <c r="G49" i="88"/>
  <c r="H49" i="88" s="1"/>
  <c r="I49" i="88" s="1"/>
  <c r="F49" i="88"/>
  <c r="E49" i="88"/>
  <c r="D49" i="88"/>
  <c r="C49" i="88"/>
  <c r="B49" i="88"/>
  <c r="G48" i="88"/>
  <c r="F48" i="88"/>
  <c r="E48" i="88"/>
  <c r="D48" i="88"/>
  <c r="C48" i="88"/>
  <c r="B48" i="88"/>
  <c r="G46" i="88"/>
  <c r="F46" i="88"/>
  <c r="E46" i="88"/>
  <c r="D46" i="88"/>
  <c r="C46" i="88"/>
  <c r="B46" i="88"/>
  <c r="G45" i="88"/>
  <c r="F45" i="88"/>
  <c r="E45" i="88"/>
  <c r="D45" i="88"/>
  <c r="C45" i="88"/>
  <c r="B45" i="88"/>
  <c r="G44" i="88"/>
  <c r="H44" i="88" s="1"/>
  <c r="I44" i="88" s="1"/>
  <c r="F44" i="88"/>
  <c r="E44" i="88"/>
  <c r="D44" i="88"/>
  <c r="C44" i="88"/>
  <c r="B44" i="88"/>
  <c r="G43" i="88"/>
  <c r="H43" i="88" s="1"/>
  <c r="I43" i="88" s="1"/>
  <c r="F43" i="88"/>
  <c r="E43" i="88"/>
  <c r="D43" i="88"/>
  <c r="C43" i="88"/>
  <c r="B43" i="88"/>
  <c r="G42" i="88"/>
  <c r="F42" i="88"/>
  <c r="E42" i="88"/>
  <c r="D42" i="88"/>
  <c r="C42" i="88"/>
  <c r="B42" i="88"/>
  <c r="G41" i="88"/>
  <c r="F41" i="88"/>
  <c r="E41" i="88"/>
  <c r="D41" i="88"/>
  <c r="C41" i="88"/>
  <c r="B41" i="88"/>
  <c r="G40" i="88"/>
  <c r="H40" i="88" s="1"/>
  <c r="F40" i="88"/>
  <c r="E40" i="88"/>
  <c r="D40" i="88"/>
  <c r="C40" i="88"/>
  <c r="B40" i="88"/>
  <c r="G38" i="88"/>
  <c r="H38" i="88" s="1"/>
  <c r="I38" i="88" s="1"/>
  <c r="F38" i="88"/>
  <c r="E38" i="88"/>
  <c r="D38" i="88"/>
  <c r="C38" i="88"/>
  <c r="B38" i="88"/>
  <c r="G37" i="88"/>
  <c r="F37" i="88"/>
  <c r="E37" i="88"/>
  <c r="D37" i="88"/>
  <c r="C37" i="88"/>
  <c r="B37" i="88"/>
  <c r="G36" i="88"/>
  <c r="F36" i="88"/>
  <c r="E36" i="88"/>
  <c r="D36" i="88"/>
  <c r="C36" i="88"/>
  <c r="B36" i="88"/>
  <c r="G35" i="88"/>
  <c r="F35" i="88"/>
  <c r="E35" i="88"/>
  <c r="D35" i="88"/>
  <c r="C35" i="88"/>
  <c r="B35" i="88"/>
  <c r="G34" i="88"/>
  <c r="F34" i="88"/>
  <c r="E34" i="88"/>
  <c r="D34" i="88"/>
  <c r="C34" i="88"/>
  <c r="B34" i="88"/>
  <c r="G33" i="88"/>
  <c r="H33" i="88" s="1"/>
  <c r="I33" i="88" s="1"/>
  <c r="F33" i="88"/>
  <c r="E33" i="88"/>
  <c r="D33" i="88"/>
  <c r="C33" i="88"/>
  <c r="B33" i="88"/>
  <c r="G32" i="88"/>
  <c r="F32" i="88"/>
  <c r="E32" i="88"/>
  <c r="D32" i="88"/>
  <c r="C32" i="88"/>
  <c r="B32" i="88"/>
  <c r="G30" i="88"/>
  <c r="H30" i="88" s="1"/>
  <c r="I30" i="88" s="1"/>
  <c r="F30" i="88"/>
  <c r="E30" i="88"/>
  <c r="D30" i="88"/>
  <c r="C30" i="88"/>
  <c r="B30" i="88"/>
  <c r="G29" i="88"/>
  <c r="I25" i="88" s="1"/>
  <c r="F29" i="88"/>
  <c r="E29" i="88"/>
  <c r="D29" i="88"/>
  <c r="C29" i="88"/>
  <c r="B29" i="88"/>
  <c r="G28" i="88"/>
  <c r="H28" i="88" s="1"/>
  <c r="I28" i="88" s="1"/>
  <c r="F28" i="88"/>
  <c r="E28" i="88"/>
  <c r="D28" i="88"/>
  <c r="C28" i="88"/>
  <c r="B28" i="88"/>
  <c r="G27" i="88"/>
  <c r="F27" i="88"/>
  <c r="E27" i="88"/>
  <c r="D27" i="88"/>
  <c r="C27" i="88"/>
  <c r="B27" i="88"/>
  <c r="G26" i="88"/>
  <c r="F26" i="88"/>
  <c r="E26" i="88"/>
  <c r="D26" i="88"/>
  <c r="C26" i="88"/>
  <c r="B26" i="88"/>
  <c r="G25" i="88"/>
  <c r="F25" i="88"/>
  <c r="E25" i="88"/>
  <c r="D25" i="88"/>
  <c r="C25" i="88"/>
  <c r="B25" i="88"/>
  <c r="G24" i="88"/>
  <c r="H24" i="88" s="1"/>
  <c r="F24" i="88"/>
  <c r="E24" i="88"/>
  <c r="D24" i="88"/>
  <c r="C24" i="88"/>
  <c r="B24" i="88"/>
  <c r="G22" i="88"/>
  <c r="F22" i="88"/>
  <c r="E22" i="88"/>
  <c r="D22" i="88"/>
  <c r="C22" i="88"/>
  <c r="B22" i="88"/>
  <c r="G21" i="88"/>
  <c r="F21" i="88"/>
  <c r="E21" i="88"/>
  <c r="D21" i="88"/>
  <c r="C21" i="88"/>
  <c r="B21" i="88"/>
  <c r="G20" i="88"/>
  <c r="H20" i="88" s="1"/>
  <c r="I20" i="88" s="1"/>
  <c r="F20" i="88"/>
  <c r="E20" i="88"/>
  <c r="D20" i="88"/>
  <c r="C20" i="88"/>
  <c r="B20" i="88"/>
  <c r="G19" i="88"/>
  <c r="H19" i="88" s="1"/>
  <c r="I19" i="88" s="1"/>
  <c r="F19" i="88"/>
  <c r="E19" i="88"/>
  <c r="D19" i="88"/>
  <c r="C19" i="88"/>
  <c r="B19" i="88"/>
  <c r="G18" i="88"/>
  <c r="F18" i="88"/>
  <c r="E18" i="88"/>
  <c r="D18" i="88"/>
  <c r="C18" i="88"/>
  <c r="B18" i="88"/>
  <c r="G17" i="88"/>
  <c r="H17" i="88" s="1"/>
  <c r="I17" i="88" s="1"/>
  <c r="F17" i="88"/>
  <c r="E17" i="88"/>
  <c r="D17" i="88"/>
  <c r="C17" i="88"/>
  <c r="B17" i="88"/>
  <c r="G16" i="88"/>
  <c r="H16" i="88" s="1"/>
  <c r="I16" i="88" s="1"/>
  <c r="F16" i="88"/>
  <c r="E16" i="88"/>
  <c r="D16" i="88"/>
  <c r="C16" i="88"/>
  <c r="B16" i="88"/>
  <c r="G15" i="88"/>
  <c r="F15" i="88"/>
  <c r="E15" i="88"/>
  <c r="D15" i="88"/>
  <c r="C15" i="88"/>
  <c r="B15" i="88"/>
  <c r="G5" i="88"/>
  <c r="G7" i="88" s="1"/>
  <c r="F5" i="88"/>
  <c r="E5" i="88"/>
  <c r="D5" i="88"/>
  <c r="D13" i="88" s="1"/>
  <c r="C5" i="88"/>
  <c r="C11" i="88" s="1"/>
  <c r="B5" i="88"/>
  <c r="G1" i="88"/>
  <c r="F1" i="88"/>
  <c r="E1" i="88"/>
  <c r="D1" i="88"/>
  <c r="C1" i="88"/>
  <c r="B1" i="88"/>
  <c r="S22" i="90"/>
  <c r="AE19" i="90"/>
  <c r="AD19" i="90"/>
  <c r="AC19" i="90"/>
  <c r="AB19" i="90"/>
  <c r="AA19" i="90"/>
  <c r="Z19" i="90"/>
  <c r="Y19" i="90"/>
  <c r="X19" i="90"/>
  <c r="W19" i="90"/>
  <c r="V19" i="90"/>
  <c r="M19" i="90"/>
  <c r="M16" i="90" s="1"/>
  <c r="H19" i="90"/>
  <c r="H16" i="90" s="1"/>
  <c r="G19" i="90"/>
  <c r="G16" i="90" s="1"/>
  <c r="D19" i="90"/>
  <c r="S18" i="90"/>
  <c r="N25" i="90"/>
  <c r="N15" i="90"/>
  <c r="S13" i="90"/>
  <c r="V8" i="90"/>
  <c r="M8" i="90"/>
  <c r="N7" i="90"/>
  <c r="N5" i="90"/>
  <c r="U4" i="90"/>
  <c r="AH4" i="90" s="1"/>
  <c r="S22" i="89"/>
  <c r="AE19" i="89"/>
  <c r="AD19" i="89"/>
  <c r="AC19" i="89"/>
  <c r="AB19" i="89"/>
  <c r="AA19" i="89"/>
  <c r="Z19" i="89"/>
  <c r="Y19" i="89"/>
  <c r="X19" i="89"/>
  <c r="W19" i="89"/>
  <c r="V19" i="89"/>
  <c r="M19" i="89"/>
  <c r="M16" i="89" s="1"/>
  <c r="H19" i="89"/>
  <c r="H16" i="89" s="1"/>
  <c r="G19" i="89"/>
  <c r="G16" i="89" s="1"/>
  <c r="D19" i="89"/>
  <c r="S18" i="89"/>
  <c r="N25" i="89"/>
  <c r="N15" i="89"/>
  <c r="S13" i="89"/>
  <c r="V8" i="89"/>
  <c r="M8" i="89"/>
  <c r="N7" i="89"/>
  <c r="N5" i="89"/>
  <c r="U4" i="89"/>
  <c r="AH4" i="89" s="1"/>
  <c r="H142" i="88"/>
  <c r="I142" i="88" s="1"/>
  <c r="H141" i="88"/>
  <c r="I141" i="88" s="1"/>
  <c r="H140" i="88"/>
  <c r="I140" i="88" s="1"/>
  <c r="H139" i="88"/>
  <c r="I139" i="88" s="1"/>
  <c r="H132" i="88"/>
  <c r="I132" i="88" s="1"/>
  <c r="H131" i="88"/>
  <c r="H127" i="88"/>
  <c r="I127" i="88" s="1"/>
  <c r="H125" i="88"/>
  <c r="I125" i="88" s="1"/>
  <c r="H124" i="88"/>
  <c r="I124" i="88" s="1"/>
  <c r="H123" i="88"/>
  <c r="I123" i="88" s="1"/>
  <c r="H120" i="88"/>
  <c r="I120" i="88" s="1"/>
  <c r="H119" i="88"/>
  <c r="I119" i="88" s="1"/>
  <c r="H118" i="88"/>
  <c r="I118" i="88" s="1"/>
  <c r="H114" i="88"/>
  <c r="I114" i="88" s="1"/>
  <c r="H113" i="88"/>
  <c r="I113" i="88" s="1"/>
  <c r="H111" i="88"/>
  <c r="I111" i="88" s="1"/>
  <c r="H110" i="88"/>
  <c r="I110" i="88" s="1"/>
  <c r="H107" i="88"/>
  <c r="H106" i="88"/>
  <c r="H104" i="88"/>
  <c r="D102" i="88"/>
  <c r="E102" i="88"/>
  <c r="H98" i="88"/>
  <c r="I98" i="88" s="1"/>
  <c r="G99" i="88"/>
  <c r="C99" i="88"/>
  <c r="H94" i="88"/>
  <c r="I94" i="88" s="1"/>
  <c r="E96" i="88"/>
  <c r="H92" i="88"/>
  <c r="I92" i="88" s="1"/>
  <c r="H90" i="88"/>
  <c r="I90" i="88" s="1"/>
  <c r="H88" i="88"/>
  <c r="I88" i="88" s="1"/>
  <c r="H86" i="88"/>
  <c r="H85" i="88" s="1"/>
  <c r="H83" i="88"/>
  <c r="I83" i="88" s="1"/>
  <c r="H82" i="88"/>
  <c r="I82" i="88" s="1"/>
  <c r="H80" i="88"/>
  <c r="I80" i="88" s="1"/>
  <c r="H79" i="88"/>
  <c r="I79" i="88" s="1"/>
  <c r="H78" i="88"/>
  <c r="I76" i="88"/>
  <c r="H76" i="88"/>
  <c r="H73" i="88"/>
  <c r="I73" i="88" s="1"/>
  <c r="H70" i="88"/>
  <c r="I70" i="88" s="1"/>
  <c r="H68" i="88"/>
  <c r="I68" i="88" s="1"/>
  <c r="H66" i="88"/>
  <c r="I66" i="88" s="1"/>
  <c r="H64" i="88"/>
  <c r="H62" i="88"/>
  <c r="H54" i="88"/>
  <c r="H51" i="88"/>
  <c r="I51" i="88" s="1"/>
  <c r="H50" i="88"/>
  <c r="I50" i="88" s="1"/>
  <c r="H48" i="88"/>
  <c r="H46" i="88"/>
  <c r="H42" i="88"/>
  <c r="I42" i="88" s="1"/>
  <c r="H41" i="88"/>
  <c r="I41" i="88" s="1"/>
  <c r="H36" i="88"/>
  <c r="I36" i="88" s="1"/>
  <c r="H35" i="88"/>
  <c r="I35" i="88" s="1"/>
  <c r="H34" i="88"/>
  <c r="I34" i="88" s="1"/>
  <c r="H32" i="88"/>
  <c r="H27" i="88"/>
  <c r="I27" i="88" s="1"/>
  <c r="H26" i="88"/>
  <c r="I26" i="88" s="1"/>
  <c r="H22" i="88"/>
  <c r="I22" i="88" s="1"/>
  <c r="L32" i="87"/>
  <c r="K32" i="87"/>
  <c r="J32" i="87"/>
  <c r="I32" i="87"/>
  <c r="H32" i="87"/>
  <c r="G32" i="87"/>
  <c r="F32" i="87"/>
  <c r="E32" i="87"/>
  <c r="D32" i="87"/>
  <c r="C32" i="87"/>
  <c r="B32" i="87"/>
  <c r="L32" i="86"/>
  <c r="K32" i="86"/>
  <c r="J32" i="86"/>
  <c r="I32" i="86"/>
  <c r="H32" i="86"/>
  <c r="G32" i="86"/>
  <c r="F32" i="86"/>
  <c r="E32" i="86"/>
  <c r="D32" i="86"/>
  <c r="C32" i="86"/>
  <c r="B32" i="86"/>
  <c r="L32" i="85"/>
  <c r="K32" i="85"/>
  <c r="J32" i="85"/>
  <c r="I32" i="85"/>
  <c r="H32" i="85"/>
  <c r="G32" i="85"/>
  <c r="F32" i="85"/>
  <c r="E32" i="85"/>
  <c r="D32" i="85"/>
  <c r="C32" i="85"/>
  <c r="B32" i="85"/>
  <c r="L32" i="84"/>
  <c r="K32" i="84"/>
  <c r="J32" i="84"/>
  <c r="I32" i="84"/>
  <c r="H32" i="84"/>
  <c r="G32" i="84"/>
  <c r="F32" i="84"/>
  <c r="E32" i="84"/>
  <c r="D32" i="84"/>
  <c r="C32" i="84"/>
  <c r="B32" i="84"/>
  <c r="L32" i="83"/>
  <c r="K32" i="83"/>
  <c r="J32" i="83"/>
  <c r="I32" i="83"/>
  <c r="H32" i="83"/>
  <c r="G32" i="83"/>
  <c r="F32" i="83"/>
  <c r="E32" i="83"/>
  <c r="D32" i="83"/>
  <c r="C32" i="83"/>
  <c r="B32" i="83"/>
  <c r="G128" i="82"/>
  <c r="F128" i="82"/>
  <c r="E128" i="82"/>
  <c r="D128" i="82"/>
  <c r="C128" i="82"/>
  <c r="B128" i="82"/>
  <c r="G127" i="82"/>
  <c r="F127" i="82"/>
  <c r="E127" i="82"/>
  <c r="D127" i="82"/>
  <c r="C127" i="82"/>
  <c r="B127" i="82"/>
  <c r="G126" i="82"/>
  <c r="F126" i="82"/>
  <c r="E126" i="82"/>
  <c r="D126" i="82"/>
  <c r="C126" i="82"/>
  <c r="B126" i="82"/>
  <c r="G125" i="82"/>
  <c r="H125" i="82" s="1"/>
  <c r="I125" i="82" s="1"/>
  <c r="F125" i="82"/>
  <c r="E125" i="82"/>
  <c r="D125" i="82"/>
  <c r="C125" i="82"/>
  <c r="B125" i="82"/>
  <c r="G124" i="82"/>
  <c r="F124" i="82"/>
  <c r="E124" i="82"/>
  <c r="D124" i="82"/>
  <c r="C124" i="82"/>
  <c r="B124" i="82"/>
  <c r="G123" i="82"/>
  <c r="H123" i="82" s="1"/>
  <c r="F123" i="82"/>
  <c r="E123" i="82"/>
  <c r="D123" i="82"/>
  <c r="C123" i="82"/>
  <c r="B123" i="82"/>
  <c r="G121" i="82"/>
  <c r="F121" i="82"/>
  <c r="E121" i="82"/>
  <c r="D121" i="82"/>
  <c r="C121" i="82"/>
  <c r="B121" i="82"/>
  <c r="G120" i="82"/>
  <c r="H120" i="82" s="1"/>
  <c r="I120" i="82" s="1"/>
  <c r="F120" i="82"/>
  <c r="E120" i="82"/>
  <c r="D120" i="82"/>
  <c r="C120" i="82"/>
  <c r="B120" i="82"/>
  <c r="G119" i="82"/>
  <c r="F119" i="82"/>
  <c r="E119" i="82"/>
  <c r="D119" i="82"/>
  <c r="C119" i="82"/>
  <c r="B119" i="82"/>
  <c r="G118" i="82"/>
  <c r="H118" i="82" s="1"/>
  <c r="I118" i="82" s="1"/>
  <c r="F118" i="82"/>
  <c r="E118" i="82"/>
  <c r="D118" i="82"/>
  <c r="C118" i="82"/>
  <c r="B118" i="82"/>
  <c r="G117" i="82"/>
  <c r="F117" i="82"/>
  <c r="E117" i="82"/>
  <c r="D117" i="82"/>
  <c r="C117" i="82"/>
  <c r="B117" i="82"/>
  <c r="G116" i="82"/>
  <c r="F116" i="82"/>
  <c r="E116" i="82"/>
  <c r="D116" i="82"/>
  <c r="C116" i="82"/>
  <c r="B116" i="82"/>
  <c r="G114" i="82"/>
  <c r="F114" i="82"/>
  <c r="E114" i="82"/>
  <c r="D114" i="82"/>
  <c r="C114" i="82"/>
  <c r="B114" i="82"/>
  <c r="G113" i="82"/>
  <c r="H113" i="82" s="1"/>
  <c r="I113" i="82" s="1"/>
  <c r="F113" i="82"/>
  <c r="E113" i="82"/>
  <c r="D113" i="82"/>
  <c r="C113" i="82"/>
  <c r="B113" i="82"/>
  <c r="G112" i="82"/>
  <c r="F112" i="82"/>
  <c r="E112" i="82"/>
  <c r="D112" i="82"/>
  <c r="C112" i="82"/>
  <c r="B112" i="82"/>
  <c r="G111" i="82"/>
  <c r="F111" i="82"/>
  <c r="E111" i="82"/>
  <c r="D111" i="82"/>
  <c r="C111" i="82"/>
  <c r="B111" i="82"/>
  <c r="G110" i="82"/>
  <c r="F110" i="82"/>
  <c r="E110" i="82"/>
  <c r="D110" i="82"/>
  <c r="C110" i="82"/>
  <c r="B110" i="82"/>
  <c r="G109" i="82"/>
  <c r="F109" i="82"/>
  <c r="E109" i="82"/>
  <c r="D109" i="82"/>
  <c r="C109" i="82"/>
  <c r="B109" i="82"/>
  <c r="G107" i="82"/>
  <c r="F107" i="82"/>
  <c r="E107" i="82"/>
  <c r="D107" i="82"/>
  <c r="C107" i="82"/>
  <c r="B107" i="82"/>
  <c r="H106" i="82"/>
  <c r="G105" i="82"/>
  <c r="F105" i="82"/>
  <c r="E105" i="82"/>
  <c r="D105" i="82"/>
  <c r="C105" i="82"/>
  <c r="B105" i="82"/>
  <c r="G104" i="82"/>
  <c r="H104" i="82" s="1"/>
  <c r="F104" i="82"/>
  <c r="E104" i="82"/>
  <c r="D104" i="82"/>
  <c r="C104" i="82"/>
  <c r="B104" i="82"/>
  <c r="G101" i="82"/>
  <c r="G102" i="82" s="1"/>
  <c r="F101" i="82"/>
  <c r="F102" i="82" s="1"/>
  <c r="E101" i="82"/>
  <c r="E102" i="82" s="1"/>
  <c r="D101" i="82"/>
  <c r="C101" i="82"/>
  <c r="B101" i="82"/>
  <c r="B102" i="82" s="1"/>
  <c r="G98" i="82"/>
  <c r="H98" i="82" s="1"/>
  <c r="I98" i="82" s="1"/>
  <c r="F98" i="82"/>
  <c r="F99" i="82" s="1"/>
  <c r="E98" i="82"/>
  <c r="E99" i="82" s="1"/>
  <c r="D98" i="82"/>
  <c r="C98" i="82"/>
  <c r="C99" i="82" s="1"/>
  <c r="B98" i="82"/>
  <c r="B99" i="82" s="1"/>
  <c r="G95" i="82"/>
  <c r="G96" i="82" s="1"/>
  <c r="F95" i="82"/>
  <c r="E95" i="82"/>
  <c r="D95" i="82"/>
  <c r="C95" i="82"/>
  <c r="B95" i="82"/>
  <c r="G94" i="82"/>
  <c r="H94" i="82" s="1"/>
  <c r="I94" i="82" s="1"/>
  <c r="F94" i="82"/>
  <c r="E94" i="82"/>
  <c r="D94" i="82"/>
  <c r="C94" i="82"/>
  <c r="B94" i="82"/>
  <c r="G90" i="82"/>
  <c r="F90" i="82"/>
  <c r="E90" i="82"/>
  <c r="D90" i="82"/>
  <c r="C90" i="82"/>
  <c r="B90" i="82"/>
  <c r="G88" i="82"/>
  <c r="H88" i="82" s="1"/>
  <c r="I88" i="82" s="1"/>
  <c r="F88" i="82"/>
  <c r="E88" i="82"/>
  <c r="D88" i="82"/>
  <c r="C88" i="82"/>
  <c r="B88" i="82"/>
  <c r="G86" i="82"/>
  <c r="F86" i="82"/>
  <c r="E86" i="82"/>
  <c r="D86" i="82"/>
  <c r="C86" i="82"/>
  <c r="B86" i="82"/>
  <c r="G85" i="82"/>
  <c r="F85" i="82"/>
  <c r="E85" i="82"/>
  <c r="D85" i="82"/>
  <c r="C85" i="82"/>
  <c r="B85" i="82"/>
  <c r="G83" i="82"/>
  <c r="H83" i="82" s="1"/>
  <c r="I83" i="82" s="1"/>
  <c r="F83" i="82"/>
  <c r="E83" i="82"/>
  <c r="D83" i="82"/>
  <c r="C83" i="82"/>
  <c r="B83" i="82"/>
  <c r="G82" i="82"/>
  <c r="F82" i="82"/>
  <c r="E82" i="82"/>
  <c r="D82" i="82"/>
  <c r="C82" i="82"/>
  <c r="B82" i="82"/>
  <c r="G81" i="82"/>
  <c r="F81" i="82"/>
  <c r="E81" i="82"/>
  <c r="D81" i="82"/>
  <c r="C81" i="82"/>
  <c r="B81" i="82"/>
  <c r="G80" i="82"/>
  <c r="H80" i="82" s="1"/>
  <c r="I80" i="82" s="1"/>
  <c r="F80" i="82"/>
  <c r="E80" i="82"/>
  <c r="D80" i="82"/>
  <c r="C80" i="82"/>
  <c r="B80" i="82"/>
  <c r="G79" i="82"/>
  <c r="F79" i="82"/>
  <c r="E79" i="82"/>
  <c r="D79" i="82"/>
  <c r="C79" i="82"/>
  <c r="B79" i="82"/>
  <c r="G78" i="82"/>
  <c r="F78" i="82"/>
  <c r="E78" i="82"/>
  <c r="D78" i="82"/>
  <c r="C78" i="82"/>
  <c r="B78" i="82"/>
  <c r="G77" i="82"/>
  <c r="F77" i="82"/>
  <c r="E77" i="82"/>
  <c r="D77" i="82"/>
  <c r="C77" i="82"/>
  <c r="B77" i="82"/>
  <c r="G73" i="82"/>
  <c r="H73" i="82" s="1"/>
  <c r="I73" i="82" s="1"/>
  <c r="F73" i="82"/>
  <c r="E73" i="82"/>
  <c r="D73" i="82"/>
  <c r="C73" i="82"/>
  <c r="B73" i="82"/>
  <c r="G72" i="82"/>
  <c r="F72" i="82"/>
  <c r="E72" i="82"/>
  <c r="D72" i="82"/>
  <c r="C72" i="82"/>
  <c r="B72" i="82"/>
  <c r="G70" i="82"/>
  <c r="F70" i="82"/>
  <c r="E70" i="82"/>
  <c r="D70" i="82"/>
  <c r="C70" i="82"/>
  <c r="B70" i="82"/>
  <c r="G69" i="82"/>
  <c r="F69" i="82"/>
  <c r="E69" i="82"/>
  <c r="D69" i="82"/>
  <c r="C69" i="82"/>
  <c r="B69" i="82"/>
  <c r="G68" i="82"/>
  <c r="H68" i="82" s="1"/>
  <c r="I68" i="82" s="1"/>
  <c r="F68" i="82"/>
  <c r="E68" i="82"/>
  <c r="D68" i="82"/>
  <c r="C68" i="82"/>
  <c r="B68" i="82"/>
  <c r="G67" i="82"/>
  <c r="H67" i="82" s="1"/>
  <c r="I67" i="82" s="1"/>
  <c r="F67" i="82"/>
  <c r="E67" i="82"/>
  <c r="D67" i="82"/>
  <c r="C67" i="82"/>
  <c r="B67" i="82"/>
  <c r="G66" i="82"/>
  <c r="H66" i="82" s="1"/>
  <c r="I66" i="82" s="1"/>
  <c r="F66" i="82"/>
  <c r="E66" i="82"/>
  <c r="D66" i="82"/>
  <c r="C66" i="82"/>
  <c r="B66" i="82"/>
  <c r="G65" i="82"/>
  <c r="H65" i="82" s="1"/>
  <c r="I65" i="82" s="1"/>
  <c r="F65" i="82"/>
  <c r="E65" i="82"/>
  <c r="D65" i="82"/>
  <c r="C65" i="82"/>
  <c r="B65" i="82"/>
  <c r="G64" i="82"/>
  <c r="H64" i="82" s="1"/>
  <c r="F64" i="82"/>
  <c r="E64" i="82"/>
  <c r="D64" i="82"/>
  <c r="C64" i="82"/>
  <c r="B64" i="82"/>
  <c r="H60" i="82"/>
  <c r="I60" i="82" s="1"/>
  <c r="H57" i="82"/>
  <c r="I57" i="82" s="1"/>
  <c r="G54" i="82"/>
  <c r="F54" i="82"/>
  <c r="E54" i="82"/>
  <c r="D54" i="82"/>
  <c r="C54" i="82"/>
  <c r="B54" i="82"/>
  <c r="G53" i="82"/>
  <c r="F53" i="82"/>
  <c r="E53" i="82"/>
  <c r="D53" i="82"/>
  <c r="C53" i="82"/>
  <c r="G52" i="82"/>
  <c r="F52" i="82"/>
  <c r="E52" i="82"/>
  <c r="D52" i="82"/>
  <c r="C52" i="82"/>
  <c r="B52" i="82"/>
  <c r="G51" i="82"/>
  <c r="H51" i="82" s="1"/>
  <c r="I51" i="82" s="1"/>
  <c r="F51" i="82"/>
  <c r="E51" i="82"/>
  <c r="D51" i="82"/>
  <c r="C51" i="82"/>
  <c r="B51" i="82"/>
  <c r="G50" i="82"/>
  <c r="F50" i="82"/>
  <c r="E50" i="82"/>
  <c r="D50" i="82"/>
  <c r="C50" i="82"/>
  <c r="B50" i="82"/>
  <c r="G49" i="82"/>
  <c r="H49" i="82" s="1"/>
  <c r="I49" i="82" s="1"/>
  <c r="F49" i="82"/>
  <c r="E49" i="82"/>
  <c r="D49" i="82"/>
  <c r="C49" i="82"/>
  <c r="B49" i="82"/>
  <c r="G48" i="82"/>
  <c r="H48" i="82" s="1"/>
  <c r="I48" i="82" s="1"/>
  <c r="F48" i="82"/>
  <c r="E48" i="82"/>
  <c r="D48" i="82"/>
  <c r="C48" i="82"/>
  <c r="B48" i="82"/>
  <c r="G46" i="82"/>
  <c r="H46" i="82" s="1"/>
  <c r="I46" i="82" s="1"/>
  <c r="F46" i="82"/>
  <c r="E46" i="82"/>
  <c r="D46" i="82"/>
  <c r="C46" i="82"/>
  <c r="B46" i="82"/>
  <c r="G45" i="82"/>
  <c r="F45" i="82"/>
  <c r="E45" i="82"/>
  <c r="D45" i="82"/>
  <c r="C45" i="82"/>
  <c r="B45" i="82"/>
  <c r="G44" i="82"/>
  <c r="H44" i="82" s="1"/>
  <c r="F44" i="82"/>
  <c r="E44" i="82"/>
  <c r="D44" i="82"/>
  <c r="C44" i="82"/>
  <c r="B44" i="82"/>
  <c r="G43" i="82"/>
  <c r="H43" i="82" s="1"/>
  <c r="I43" i="82" s="1"/>
  <c r="F43" i="82"/>
  <c r="E43" i="82"/>
  <c r="D43" i="82"/>
  <c r="C43" i="82"/>
  <c r="B43" i="82"/>
  <c r="G42" i="82"/>
  <c r="H42" i="82" s="1"/>
  <c r="I42" i="82" s="1"/>
  <c r="F42" i="82"/>
  <c r="E42" i="82"/>
  <c r="D42" i="82"/>
  <c r="C42" i="82"/>
  <c r="B42" i="82"/>
  <c r="G41" i="82"/>
  <c r="F41" i="82"/>
  <c r="E41" i="82"/>
  <c r="D41" i="82"/>
  <c r="C41" i="82"/>
  <c r="B41" i="82"/>
  <c r="G40" i="82"/>
  <c r="H40" i="82" s="1"/>
  <c r="I40" i="82" s="1"/>
  <c r="F40" i="82"/>
  <c r="E40" i="82"/>
  <c r="D40" i="82"/>
  <c r="C40" i="82"/>
  <c r="B40" i="82"/>
  <c r="G38" i="82"/>
  <c r="F38" i="82"/>
  <c r="E38" i="82"/>
  <c r="D38" i="82"/>
  <c r="C38" i="82"/>
  <c r="B38" i="82"/>
  <c r="G37" i="82"/>
  <c r="F37" i="82"/>
  <c r="E37" i="82"/>
  <c r="D37" i="82"/>
  <c r="C37" i="82"/>
  <c r="B37" i="82"/>
  <c r="G36" i="82"/>
  <c r="H36" i="82" s="1"/>
  <c r="I36" i="82" s="1"/>
  <c r="F36" i="82"/>
  <c r="E36" i="82"/>
  <c r="D36" i="82"/>
  <c r="C36" i="82"/>
  <c r="B36" i="82"/>
  <c r="G35" i="82"/>
  <c r="H35" i="82" s="1"/>
  <c r="I35" i="82" s="1"/>
  <c r="F35" i="82"/>
  <c r="E35" i="82"/>
  <c r="D35" i="82"/>
  <c r="C35" i="82"/>
  <c r="B35" i="82"/>
  <c r="G34" i="82"/>
  <c r="H34" i="82" s="1"/>
  <c r="I34" i="82" s="1"/>
  <c r="F34" i="82"/>
  <c r="E34" i="82"/>
  <c r="D34" i="82"/>
  <c r="C34" i="82"/>
  <c r="B34" i="82"/>
  <c r="G33" i="82"/>
  <c r="F33" i="82"/>
  <c r="E33" i="82"/>
  <c r="D33" i="82"/>
  <c r="C33" i="82"/>
  <c r="B33" i="82"/>
  <c r="G32" i="82"/>
  <c r="F32" i="82"/>
  <c r="E32" i="82"/>
  <c r="D32" i="82"/>
  <c r="C32" i="82"/>
  <c r="B32" i="82"/>
  <c r="G30" i="82"/>
  <c r="H30" i="82" s="1"/>
  <c r="I30" i="82" s="1"/>
  <c r="F30" i="82"/>
  <c r="E30" i="82"/>
  <c r="D30" i="82"/>
  <c r="C30" i="82"/>
  <c r="B30" i="82"/>
  <c r="G29" i="82"/>
  <c r="H29" i="82" s="1"/>
  <c r="I29" i="82" s="1"/>
  <c r="F29" i="82"/>
  <c r="E29" i="82"/>
  <c r="D29" i="82"/>
  <c r="C29" i="82"/>
  <c r="B29" i="82"/>
  <c r="G28" i="82"/>
  <c r="F28" i="82"/>
  <c r="E28" i="82"/>
  <c r="D28" i="82"/>
  <c r="C28" i="82"/>
  <c r="B28" i="82"/>
  <c r="G27" i="82"/>
  <c r="H27" i="82" s="1"/>
  <c r="I27" i="82" s="1"/>
  <c r="F27" i="82"/>
  <c r="E27" i="82"/>
  <c r="D27" i="82"/>
  <c r="C27" i="82"/>
  <c r="B27" i="82"/>
  <c r="G26" i="82"/>
  <c r="H26" i="82" s="1"/>
  <c r="I26" i="82" s="1"/>
  <c r="F26" i="82"/>
  <c r="E26" i="82"/>
  <c r="D26" i="82"/>
  <c r="C26" i="82"/>
  <c r="B26" i="82"/>
  <c r="G25" i="82"/>
  <c r="F25" i="82"/>
  <c r="E25" i="82"/>
  <c r="D25" i="82"/>
  <c r="C25" i="82"/>
  <c r="B25" i="82"/>
  <c r="G24" i="82"/>
  <c r="F24" i="82"/>
  <c r="E24" i="82"/>
  <c r="D24" i="82"/>
  <c r="C24" i="82"/>
  <c r="B24" i="82"/>
  <c r="G22" i="82"/>
  <c r="H22" i="82" s="1"/>
  <c r="I22" i="82" s="1"/>
  <c r="F22" i="82"/>
  <c r="E22" i="82"/>
  <c r="D22" i="82"/>
  <c r="C22" i="82"/>
  <c r="B22" i="82"/>
  <c r="G21" i="82"/>
  <c r="F21" i="82"/>
  <c r="E21" i="82"/>
  <c r="D21" i="82"/>
  <c r="C21" i="82"/>
  <c r="B21" i="82"/>
  <c r="G20" i="82"/>
  <c r="H20" i="82" s="1"/>
  <c r="I20" i="82" s="1"/>
  <c r="F20" i="82"/>
  <c r="E20" i="82"/>
  <c r="D20" i="82"/>
  <c r="C20" i="82"/>
  <c r="B20" i="82"/>
  <c r="G19" i="82"/>
  <c r="H19" i="82" s="1"/>
  <c r="I19" i="82" s="1"/>
  <c r="F19" i="82"/>
  <c r="E19" i="82"/>
  <c r="D19" i="82"/>
  <c r="C19" i="82"/>
  <c r="B19" i="82"/>
  <c r="G18" i="82"/>
  <c r="H18" i="82" s="1"/>
  <c r="I18" i="82" s="1"/>
  <c r="F18" i="82"/>
  <c r="E18" i="82"/>
  <c r="D18" i="82"/>
  <c r="C18" i="82"/>
  <c r="B18" i="82"/>
  <c r="G17" i="82"/>
  <c r="H17" i="82" s="1"/>
  <c r="I17" i="82" s="1"/>
  <c r="F17" i="82"/>
  <c r="E17" i="82"/>
  <c r="D17" i="82"/>
  <c r="C17" i="82"/>
  <c r="B17" i="82"/>
  <c r="G16" i="82"/>
  <c r="F16" i="82"/>
  <c r="E16" i="82"/>
  <c r="D16" i="82"/>
  <c r="C16" i="82"/>
  <c r="B16" i="82"/>
  <c r="G15" i="82"/>
  <c r="H15" i="82" s="1"/>
  <c r="F15" i="82"/>
  <c r="E15" i="82"/>
  <c r="D15" i="82"/>
  <c r="C15" i="82"/>
  <c r="B15" i="82"/>
  <c r="G11" i="82"/>
  <c r="G5" i="82"/>
  <c r="G7" i="82" s="1"/>
  <c r="F5" i="82"/>
  <c r="E5" i="82"/>
  <c r="D5" i="82"/>
  <c r="C5" i="82"/>
  <c r="C11" i="82" s="1"/>
  <c r="B5" i="82"/>
  <c r="G1" i="82"/>
  <c r="F1" i="82"/>
  <c r="E1" i="82"/>
  <c r="D1" i="82"/>
  <c r="C1" i="82"/>
  <c r="B1" i="82"/>
  <c r="H142" i="82"/>
  <c r="I142" i="82" s="1"/>
  <c r="H141" i="82"/>
  <c r="I141" i="82" s="1"/>
  <c r="H140" i="82"/>
  <c r="I140" i="82" s="1"/>
  <c r="H139" i="82"/>
  <c r="I139" i="82" s="1"/>
  <c r="H132" i="82"/>
  <c r="I132" i="82" s="1"/>
  <c r="H131" i="82"/>
  <c r="H130" i="82" s="1"/>
  <c r="H128" i="82"/>
  <c r="I128" i="82" s="1"/>
  <c r="H127" i="82"/>
  <c r="I127" i="82" s="1"/>
  <c r="H124" i="82"/>
  <c r="I124" i="82" s="1"/>
  <c r="H121" i="82"/>
  <c r="I121" i="82" s="1"/>
  <c r="H119" i="82"/>
  <c r="I119" i="82" s="1"/>
  <c r="H117" i="82"/>
  <c r="H114" i="82"/>
  <c r="I114" i="82" s="1"/>
  <c r="H112" i="82"/>
  <c r="I112" i="82" s="1"/>
  <c r="H111" i="82"/>
  <c r="I111" i="82" s="1"/>
  <c r="H110" i="82"/>
  <c r="H107" i="82"/>
  <c r="I107" i="82" s="1"/>
  <c r="T12" i="80" s="1"/>
  <c r="H105" i="82"/>
  <c r="I105" i="82" s="1"/>
  <c r="T10" i="80" s="1"/>
  <c r="H101" i="82"/>
  <c r="I101" i="82" s="1"/>
  <c r="I102" i="82" s="1"/>
  <c r="D102" i="82"/>
  <c r="C102" i="82"/>
  <c r="D99" i="82"/>
  <c r="H95" i="82"/>
  <c r="I95" i="82" s="1"/>
  <c r="H92" i="82"/>
  <c r="I92" i="82" s="1"/>
  <c r="H90" i="82"/>
  <c r="I90" i="82" s="1"/>
  <c r="H86" i="82"/>
  <c r="I86" i="82" s="1"/>
  <c r="I85" i="82" s="1"/>
  <c r="H82" i="82"/>
  <c r="I82" i="82" s="1"/>
  <c r="H81" i="82"/>
  <c r="I81" i="82" s="1"/>
  <c r="H79" i="82"/>
  <c r="I79" i="82" s="1"/>
  <c r="H78" i="82"/>
  <c r="I78" i="82" s="1"/>
  <c r="H76" i="82"/>
  <c r="I76" i="82" s="1"/>
  <c r="H72" i="82"/>
  <c r="I72" i="82" s="1"/>
  <c r="H70" i="82"/>
  <c r="I70" i="82" s="1"/>
  <c r="H62" i="82"/>
  <c r="I62" i="82" s="1"/>
  <c r="H59" i="82"/>
  <c r="I59" i="82" s="1"/>
  <c r="H58" i="82"/>
  <c r="I58" i="82" s="1"/>
  <c r="H54" i="82"/>
  <c r="I54" i="82" s="1"/>
  <c r="H52" i="82"/>
  <c r="I52" i="82" s="1"/>
  <c r="H50" i="82"/>
  <c r="I50" i="82" s="1"/>
  <c r="H41" i="82"/>
  <c r="I41" i="82" s="1"/>
  <c r="H38" i="82"/>
  <c r="H33" i="82"/>
  <c r="I33" i="82" s="1"/>
  <c r="H32" i="82"/>
  <c r="I32" i="82" s="1"/>
  <c r="H28" i="82"/>
  <c r="I28" i="82" s="1"/>
  <c r="H24" i="82"/>
  <c r="I24" i="82" s="1"/>
  <c r="H16" i="82"/>
  <c r="I16" i="82" s="1"/>
  <c r="AE19" i="81"/>
  <c r="AD19" i="81"/>
  <c r="AC19" i="81"/>
  <c r="AB19" i="81"/>
  <c r="AA19" i="81"/>
  <c r="Z19" i="81"/>
  <c r="Y19" i="81"/>
  <c r="X19" i="81"/>
  <c r="W19" i="81"/>
  <c r="V19" i="81"/>
  <c r="M19" i="81"/>
  <c r="M16" i="81" s="1"/>
  <c r="H19" i="81"/>
  <c r="H16" i="81" s="1"/>
  <c r="G19" i="81"/>
  <c r="D19" i="81"/>
  <c r="G16" i="81"/>
  <c r="N15" i="81"/>
  <c r="S13" i="81"/>
  <c r="V8" i="81"/>
  <c r="M8" i="81"/>
  <c r="N7" i="81"/>
  <c r="N5" i="81"/>
  <c r="U4" i="81"/>
  <c r="AH4" i="81" s="1"/>
  <c r="AE19" i="80"/>
  <c r="AD19" i="80"/>
  <c r="AC19" i="80"/>
  <c r="AB19" i="80"/>
  <c r="AA19" i="80"/>
  <c r="Z19" i="80"/>
  <c r="Y19" i="80"/>
  <c r="X19" i="80"/>
  <c r="W19" i="80"/>
  <c r="V19" i="80"/>
  <c r="M19" i="80"/>
  <c r="M16" i="80" s="1"/>
  <c r="H19" i="80"/>
  <c r="H16" i="80" s="1"/>
  <c r="G19" i="80"/>
  <c r="G16" i="80" s="1"/>
  <c r="D19" i="80"/>
  <c r="N15" i="80"/>
  <c r="S13" i="80"/>
  <c r="V8" i="80"/>
  <c r="M8" i="80"/>
  <c r="N7" i="80"/>
  <c r="N5" i="80"/>
  <c r="U4" i="80"/>
  <c r="AH4" i="80" s="1"/>
  <c r="L32" i="79"/>
  <c r="K32" i="79"/>
  <c r="J32" i="79"/>
  <c r="I32" i="79"/>
  <c r="H32" i="79"/>
  <c r="G32" i="79"/>
  <c r="F32" i="79"/>
  <c r="E32" i="79"/>
  <c r="D32" i="79"/>
  <c r="C32" i="79"/>
  <c r="B32" i="79"/>
  <c r="L32" i="78"/>
  <c r="K32" i="78"/>
  <c r="J32" i="78"/>
  <c r="I32" i="78"/>
  <c r="H32" i="78"/>
  <c r="G32" i="78"/>
  <c r="F32" i="78"/>
  <c r="E32" i="78"/>
  <c r="D32" i="78"/>
  <c r="C32" i="78"/>
  <c r="B32" i="78"/>
  <c r="L32" i="77"/>
  <c r="K32" i="77"/>
  <c r="J32" i="77"/>
  <c r="I32" i="77"/>
  <c r="H32" i="77"/>
  <c r="G32" i="77"/>
  <c r="F32" i="77"/>
  <c r="E32" i="77"/>
  <c r="D32" i="77"/>
  <c r="C32" i="77"/>
  <c r="B32" i="77"/>
  <c r="L32" i="76"/>
  <c r="K32" i="76"/>
  <c r="J32" i="76"/>
  <c r="I32" i="76"/>
  <c r="H32" i="76"/>
  <c r="G32" i="76"/>
  <c r="F32" i="76"/>
  <c r="E32" i="76"/>
  <c r="D32" i="76"/>
  <c r="C32" i="76"/>
  <c r="B32" i="76"/>
  <c r="L32" i="75"/>
  <c r="K32" i="75"/>
  <c r="J32" i="75"/>
  <c r="I32" i="75"/>
  <c r="H32" i="75"/>
  <c r="G32" i="75"/>
  <c r="F32" i="75"/>
  <c r="E32" i="75"/>
  <c r="D32" i="75"/>
  <c r="C32" i="75"/>
  <c r="B32" i="75"/>
  <c r="R57" i="152" l="1"/>
  <c r="S57" i="152" s="1"/>
  <c r="T57" i="152" s="1"/>
  <c r="R60" i="152"/>
  <c r="S60" i="152" s="1"/>
  <c r="T60" i="152" s="1"/>
  <c r="U60" i="152" s="1"/>
  <c r="V60" i="152" s="1"/>
  <c r="C7" i="88"/>
  <c r="D96" i="88"/>
  <c r="G9" i="82"/>
  <c r="C96" i="82"/>
  <c r="E96" i="82"/>
  <c r="E96" i="93"/>
  <c r="I96" i="93"/>
  <c r="D2" i="136"/>
  <c r="D2" i="88"/>
  <c r="C96" i="88"/>
  <c r="AG4" i="91"/>
  <c r="F2" i="136"/>
  <c r="F2" i="88"/>
  <c r="T9" i="92"/>
  <c r="E2" i="136"/>
  <c r="E2" i="88"/>
  <c r="G2" i="136"/>
  <c r="G2" i="88"/>
  <c r="G9" i="88"/>
  <c r="D9" i="93"/>
  <c r="C7" i="82"/>
  <c r="G11" i="88"/>
  <c r="D11" i="93"/>
  <c r="C13" i="88"/>
  <c r="B2" i="136"/>
  <c r="B2" i="88"/>
  <c r="H53" i="112"/>
  <c r="T22" i="113" s="1"/>
  <c r="C13" i="82"/>
  <c r="C2" i="136"/>
  <c r="C2" i="88"/>
  <c r="K19" i="137"/>
  <c r="H61" i="112"/>
  <c r="T23" i="113" s="1"/>
  <c r="T22" i="114"/>
  <c r="I64" i="82"/>
  <c r="I104" i="82"/>
  <c r="T9" i="80" s="1"/>
  <c r="T9" i="81"/>
  <c r="I106" i="82"/>
  <c r="T11" i="80" s="1"/>
  <c r="T11" i="81"/>
  <c r="D75" i="82"/>
  <c r="D59" i="146"/>
  <c r="D9" i="82"/>
  <c r="T10" i="81"/>
  <c r="E75" i="82"/>
  <c r="E59" i="146"/>
  <c r="G99" i="82"/>
  <c r="B75" i="82"/>
  <c r="B59" i="146"/>
  <c r="F10" i="82"/>
  <c r="F59" i="146"/>
  <c r="D13" i="82"/>
  <c r="T12" i="81"/>
  <c r="I25" i="82"/>
  <c r="T18" i="80" s="1"/>
  <c r="H56" i="82"/>
  <c r="D7" i="82"/>
  <c r="C75" i="82"/>
  <c r="C59" i="146"/>
  <c r="G75" i="82"/>
  <c r="H75" i="82" s="1"/>
  <c r="I75" i="82" s="1"/>
  <c r="G59" i="146"/>
  <c r="C9" i="82"/>
  <c r="D11" i="82"/>
  <c r="G13" i="82"/>
  <c r="H13" i="82" s="1"/>
  <c r="B96" i="82"/>
  <c r="F96" i="82"/>
  <c r="D96" i="82"/>
  <c r="B13" i="93"/>
  <c r="B47" i="146"/>
  <c r="F12" i="93"/>
  <c r="F47" i="146"/>
  <c r="I106" i="93"/>
  <c r="T11" i="91" s="1"/>
  <c r="T11" i="92"/>
  <c r="I64" i="93"/>
  <c r="I40" i="93"/>
  <c r="I5" i="93"/>
  <c r="N16" i="92"/>
  <c r="C13" i="93"/>
  <c r="C47" i="146"/>
  <c r="T10" i="92"/>
  <c r="G96" i="93"/>
  <c r="D75" i="93"/>
  <c r="D47" i="146"/>
  <c r="D7" i="93"/>
  <c r="H37" i="93"/>
  <c r="T20" i="92" s="1"/>
  <c r="G13" i="93"/>
  <c r="G47" i="146"/>
  <c r="E75" i="93"/>
  <c r="E47" i="146"/>
  <c r="T12" i="92"/>
  <c r="I5" i="104"/>
  <c r="AF22" i="106" s="1"/>
  <c r="AF21" i="105"/>
  <c r="N16" i="105"/>
  <c r="AF23" i="105"/>
  <c r="AF17" i="105"/>
  <c r="AF18" i="105"/>
  <c r="I21" i="104"/>
  <c r="T17" i="106" s="1"/>
  <c r="AF24" i="105"/>
  <c r="AF22" i="105"/>
  <c r="T24" i="106"/>
  <c r="L13" i="114"/>
  <c r="E13" i="114"/>
  <c r="J13" i="114"/>
  <c r="C13" i="114"/>
  <c r="D13" i="114"/>
  <c r="F13" i="114"/>
  <c r="K13" i="114"/>
  <c r="L22" i="114"/>
  <c r="S22" i="114"/>
  <c r="I22" i="114"/>
  <c r="C22" i="114"/>
  <c r="E22" i="114"/>
  <c r="F22" i="114"/>
  <c r="K22" i="114"/>
  <c r="L17" i="113"/>
  <c r="K17" i="113"/>
  <c r="C17" i="113"/>
  <c r="S17" i="113"/>
  <c r="I17" i="113"/>
  <c r="D17" i="113"/>
  <c r="D16" i="113" s="1"/>
  <c r="E17" i="113"/>
  <c r="J17" i="113"/>
  <c r="F17" i="113"/>
  <c r="S21" i="114"/>
  <c r="J22" i="114"/>
  <c r="N25" i="113"/>
  <c r="N13" i="113"/>
  <c r="AF22" i="113"/>
  <c r="T21" i="114"/>
  <c r="J21" i="114" s="1"/>
  <c r="I21" i="112"/>
  <c r="T17" i="114" s="1"/>
  <c r="AF21" i="113"/>
  <c r="L24" i="114"/>
  <c r="F24" i="114"/>
  <c r="K24" i="114"/>
  <c r="E24" i="114"/>
  <c r="I24" i="114"/>
  <c r="J24" i="114"/>
  <c r="C24" i="114"/>
  <c r="S18" i="114"/>
  <c r="I25" i="112"/>
  <c r="S24" i="114"/>
  <c r="AF23" i="113"/>
  <c r="S23" i="113" s="1"/>
  <c r="AF18" i="113"/>
  <c r="AF24" i="113"/>
  <c r="S22" i="121"/>
  <c r="C22" i="121"/>
  <c r="I22" i="121"/>
  <c r="E22" i="121"/>
  <c r="J22" i="121"/>
  <c r="K22" i="121"/>
  <c r="F22" i="121"/>
  <c r="I21" i="121"/>
  <c r="J21" i="121"/>
  <c r="E21" i="121"/>
  <c r="F21" i="121"/>
  <c r="K21" i="121"/>
  <c r="L21" i="121"/>
  <c r="C21" i="121"/>
  <c r="S21" i="121"/>
  <c r="AF20" i="122"/>
  <c r="AF18" i="122"/>
  <c r="N16" i="122"/>
  <c r="AF21" i="122"/>
  <c r="AF17" i="122"/>
  <c r="AF23" i="122"/>
  <c r="AF24" i="122"/>
  <c r="L24" i="121"/>
  <c r="K24" i="121"/>
  <c r="C24" i="121"/>
  <c r="J24" i="121"/>
  <c r="I24" i="121"/>
  <c r="E24" i="121"/>
  <c r="S24" i="121"/>
  <c r="F24" i="121"/>
  <c r="AF22" i="122"/>
  <c r="L20" i="121"/>
  <c r="E20" i="121"/>
  <c r="K20" i="121"/>
  <c r="I20" i="121"/>
  <c r="C20" i="121"/>
  <c r="S20" i="121"/>
  <c r="AF19" i="121"/>
  <c r="F20" i="121"/>
  <c r="K23" i="121"/>
  <c r="J23" i="121"/>
  <c r="L23" i="121"/>
  <c r="F23" i="121"/>
  <c r="C23" i="121"/>
  <c r="S23" i="121"/>
  <c r="I23" i="121"/>
  <c r="E23" i="121"/>
  <c r="J20" i="121"/>
  <c r="N13" i="121"/>
  <c r="N25" i="121"/>
  <c r="J17" i="122"/>
  <c r="L22" i="121"/>
  <c r="E17" i="121"/>
  <c r="D17" i="121"/>
  <c r="D16" i="121" s="1"/>
  <c r="I17" i="121"/>
  <c r="F17" i="121"/>
  <c r="C17" i="121"/>
  <c r="J17" i="121"/>
  <c r="K17" i="121"/>
  <c r="S17" i="121"/>
  <c r="K18" i="121"/>
  <c r="F18" i="121"/>
  <c r="J18" i="121"/>
  <c r="C18" i="121"/>
  <c r="L18" i="121"/>
  <c r="S18" i="121"/>
  <c r="I18" i="121"/>
  <c r="E18" i="121"/>
  <c r="F20" i="129"/>
  <c r="K20" i="129"/>
  <c r="I20" i="129"/>
  <c r="L20" i="129"/>
  <c r="E20" i="129"/>
  <c r="C20" i="129"/>
  <c r="S20" i="129"/>
  <c r="AF19" i="129"/>
  <c r="S19" i="129" s="1"/>
  <c r="J20" i="129"/>
  <c r="K23" i="129"/>
  <c r="I23" i="129"/>
  <c r="L23" i="129"/>
  <c r="F23" i="129"/>
  <c r="S23" i="129"/>
  <c r="C23" i="129"/>
  <c r="E23" i="129"/>
  <c r="AF21" i="128"/>
  <c r="AF18" i="128"/>
  <c r="AF17" i="128"/>
  <c r="L17" i="128" s="1"/>
  <c r="AF20" i="128"/>
  <c r="N16" i="128"/>
  <c r="AF24" i="128"/>
  <c r="AF23" i="128"/>
  <c r="L17" i="129"/>
  <c r="E17" i="129"/>
  <c r="J17" i="129"/>
  <c r="F17" i="129"/>
  <c r="S17" i="129"/>
  <c r="K17" i="129"/>
  <c r="D17" i="129"/>
  <c r="D16" i="129" s="1"/>
  <c r="C17" i="129"/>
  <c r="I17" i="129"/>
  <c r="J23" i="129"/>
  <c r="K18" i="129"/>
  <c r="L18" i="129"/>
  <c r="F18" i="129"/>
  <c r="I18" i="129"/>
  <c r="C18" i="129"/>
  <c r="E18" i="129"/>
  <c r="S18" i="129"/>
  <c r="L22" i="129"/>
  <c r="I22" i="129"/>
  <c r="S22" i="129"/>
  <c r="E22" i="129"/>
  <c r="C22" i="129"/>
  <c r="F22" i="129"/>
  <c r="K22" i="129"/>
  <c r="J22" i="129"/>
  <c r="I21" i="129"/>
  <c r="L21" i="129"/>
  <c r="K21" i="129"/>
  <c r="E21" i="129"/>
  <c r="S21" i="129"/>
  <c r="C21" i="129"/>
  <c r="J21" i="129"/>
  <c r="F21" i="129"/>
  <c r="N13" i="129"/>
  <c r="N25" i="129"/>
  <c r="L24" i="129"/>
  <c r="E24" i="129"/>
  <c r="I24" i="129"/>
  <c r="F24" i="129"/>
  <c r="K24" i="129"/>
  <c r="S24" i="129"/>
  <c r="C24" i="129"/>
  <c r="AF22" i="128"/>
  <c r="L22" i="128" s="1"/>
  <c r="K16" i="137"/>
  <c r="AD14" i="137" s="1"/>
  <c r="K14" i="137" s="1"/>
  <c r="AG18" i="137"/>
  <c r="I40" i="88"/>
  <c r="I105" i="88"/>
  <c r="T10" i="149" s="1"/>
  <c r="T10" i="148"/>
  <c r="D9" i="88"/>
  <c r="I48" i="88"/>
  <c r="D7" i="88"/>
  <c r="I86" i="88"/>
  <c r="I85" i="88" s="1"/>
  <c r="G102" i="88"/>
  <c r="B75" i="88"/>
  <c r="B20" i="146"/>
  <c r="F13" i="88"/>
  <c r="F20" i="146"/>
  <c r="B96" i="88"/>
  <c r="F96" i="88"/>
  <c r="I107" i="88"/>
  <c r="T12" i="149" s="1"/>
  <c r="T12" i="148"/>
  <c r="D75" i="88"/>
  <c r="D20" i="146"/>
  <c r="I32" i="88"/>
  <c r="I64" i="88"/>
  <c r="I69" i="88" s="1"/>
  <c r="I104" i="88"/>
  <c r="T9" i="149" s="1"/>
  <c r="T9" i="148"/>
  <c r="E75" i="88"/>
  <c r="E20" i="146"/>
  <c r="N16" i="148"/>
  <c r="H56" i="88"/>
  <c r="I106" i="88"/>
  <c r="T11" i="149" s="1"/>
  <c r="T11" i="148"/>
  <c r="C75" i="88"/>
  <c r="C20" i="146"/>
  <c r="G75" i="88"/>
  <c r="H75" i="88" s="1"/>
  <c r="I75" i="88" s="1"/>
  <c r="G20" i="146"/>
  <c r="C9" i="88"/>
  <c r="D11" i="88"/>
  <c r="G13" i="88"/>
  <c r="H13" i="88" s="1"/>
  <c r="N20" i="137"/>
  <c r="C19" i="137"/>
  <c r="C16" i="137" s="1"/>
  <c r="AH20" i="137"/>
  <c r="K17" i="138"/>
  <c r="D17" i="138"/>
  <c r="D16" i="138" s="1"/>
  <c r="J17" i="138"/>
  <c r="F17" i="138"/>
  <c r="C17" i="138"/>
  <c r="I17" i="138"/>
  <c r="E17" i="138"/>
  <c r="S17" i="138"/>
  <c r="E19" i="137"/>
  <c r="E16" i="137" s="1"/>
  <c r="X14" i="137" s="1"/>
  <c r="AH24" i="137"/>
  <c r="N24" i="137"/>
  <c r="AG24" i="137" s="1"/>
  <c r="L17" i="138"/>
  <c r="I20" i="138"/>
  <c r="C20" i="138"/>
  <c r="J20" i="138"/>
  <c r="E20" i="138"/>
  <c r="K20" i="138"/>
  <c r="F20" i="138"/>
  <c r="L20" i="138"/>
  <c r="AF19" i="138"/>
  <c r="S19" i="138" s="1"/>
  <c r="S20" i="138"/>
  <c r="N23" i="137"/>
  <c r="AG23" i="137" s="1"/>
  <c r="AH23" i="137"/>
  <c r="L19" i="137"/>
  <c r="L16" i="137" s="1"/>
  <c r="AE14" i="137" s="1"/>
  <c r="L14" i="137" s="1"/>
  <c r="AG17" i="137"/>
  <c r="K18" i="138"/>
  <c r="F18" i="138"/>
  <c r="L18" i="138"/>
  <c r="E18" i="138"/>
  <c r="I18" i="138"/>
  <c r="C18" i="138"/>
  <c r="S18" i="138"/>
  <c r="N13" i="138"/>
  <c r="N25" i="138"/>
  <c r="J18" i="138"/>
  <c r="N17" i="137"/>
  <c r="AH17" i="137"/>
  <c r="I21" i="138"/>
  <c r="C21" i="138"/>
  <c r="E21" i="138"/>
  <c r="S21" i="138"/>
  <c r="J21" i="138"/>
  <c r="K21" i="138"/>
  <c r="F21" i="138"/>
  <c r="L21" i="138"/>
  <c r="AH18" i="137"/>
  <c r="N18" i="137"/>
  <c r="AH22" i="138"/>
  <c r="N22" i="138"/>
  <c r="AG22" i="138" s="1"/>
  <c r="F19" i="137"/>
  <c r="F16" i="137" s="1"/>
  <c r="I24" i="138"/>
  <c r="J24" i="138"/>
  <c r="C24" i="138"/>
  <c r="K24" i="138"/>
  <c r="E24" i="138"/>
  <c r="F24" i="138"/>
  <c r="L24" i="138"/>
  <c r="S24" i="138"/>
  <c r="I23" i="138"/>
  <c r="F23" i="138"/>
  <c r="K23" i="138"/>
  <c r="C23" i="138"/>
  <c r="J23" i="138"/>
  <c r="L23" i="138"/>
  <c r="E23" i="138"/>
  <c r="S23" i="138"/>
  <c r="J19" i="137"/>
  <c r="J16" i="137" s="1"/>
  <c r="I19" i="137"/>
  <c r="I16" i="137" s="1"/>
  <c r="AB15" i="137" s="1"/>
  <c r="S15" i="137" s="1"/>
  <c r="AF16" i="137"/>
  <c r="AH21" i="137"/>
  <c r="N21" i="137"/>
  <c r="AG21" i="137" s="1"/>
  <c r="AH22" i="137"/>
  <c r="N22" i="137"/>
  <c r="AG22" i="137" s="1"/>
  <c r="L13" i="137"/>
  <c r="L8" i="137" s="1"/>
  <c r="J13" i="137"/>
  <c r="D13" i="137"/>
  <c r="F13" i="137"/>
  <c r="K13" i="137"/>
  <c r="C13" i="137"/>
  <c r="E13" i="137"/>
  <c r="AG13" i="137"/>
  <c r="J23" i="113"/>
  <c r="T23" i="114"/>
  <c r="K23" i="114" s="1"/>
  <c r="AG13" i="114"/>
  <c r="L8" i="114"/>
  <c r="I7" i="112"/>
  <c r="H9" i="112"/>
  <c r="AF20" i="113" s="1"/>
  <c r="I7" i="104"/>
  <c r="I9" i="104" s="1"/>
  <c r="H9" i="104"/>
  <c r="AF20" i="105" s="1"/>
  <c r="B8" i="93"/>
  <c r="B10" i="93"/>
  <c r="B12" i="93"/>
  <c r="F75" i="93"/>
  <c r="H25" i="93"/>
  <c r="T18" i="92" s="1"/>
  <c r="E7" i="93"/>
  <c r="C8" i="93"/>
  <c r="G8" i="93"/>
  <c r="H8" i="93" s="1"/>
  <c r="E9" i="93"/>
  <c r="C10" i="93"/>
  <c r="G10" i="93"/>
  <c r="E11" i="93"/>
  <c r="C12" i="93"/>
  <c r="G12" i="93"/>
  <c r="E13" i="93"/>
  <c r="C75" i="93"/>
  <c r="G75" i="93"/>
  <c r="H75" i="93" s="1"/>
  <c r="I75" i="93" s="1"/>
  <c r="B75" i="93"/>
  <c r="H21" i="93"/>
  <c r="T17" i="92" s="1"/>
  <c r="H102" i="93"/>
  <c r="I126" i="93"/>
  <c r="B7" i="93"/>
  <c r="F7" i="93"/>
  <c r="D8" i="93"/>
  <c r="B9" i="93"/>
  <c r="F9" i="93"/>
  <c r="D10" i="93"/>
  <c r="B11" i="93"/>
  <c r="F11" i="93"/>
  <c r="D12" i="93"/>
  <c r="F13" i="93"/>
  <c r="F8" i="93"/>
  <c r="F10" i="93"/>
  <c r="H53" i="93"/>
  <c r="T22" i="92" s="1"/>
  <c r="H109" i="93"/>
  <c r="C7" i="93"/>
  <c r="G7" i="93"/>
  <c r="E8" i="93"/>
  <c r="C9" i="93"/>
  <c r="G9" i="93"/>
  <c r="E10" i="93"/>
  <c r="C11" i="93"/>
  <c r="G11" i="93"/>
  <c r="H11" i="93" s="1"/>
  <c r="E12" i="93"/>
  <c r="H45" i="93"/>
  <c r="T21" i="92" s="1"/>
  <c r="I15" i="93"/>
  <c r="I24" i="93"/>
  <c r="I38" i="93"/>
  <c r="I37" i="93" s="1"/>
  <c r="I52" i="93"/>
  <c r="I53" i="93" s="1"/>
  <c r="H61" i="93"/>
  <c r="T23" i="92" s="1"/>
  <c r="I69" i="93"/>
  <c r="I116" i="93"/>
  <c r="H126" i="93"/>
  <c r="I61" i="93"/>
  <c r="T23" i="91" s="1"/>
  <c r="I78" i="93"/>
  <c r="I77" i="93" s="1"/>
  <c r="H77" i="93"/>
  <c r="H69" i="93"/>
  <c r="T24" i="92" s="1"/>
  <c r="I86" i="93"/>
  <c r="I85" i="93" s="1"/>
  <c r="H85" i="93"/>
  <c r="H116" i="93"/>
  <c r="H130" i="93"/>
  <c r="I131" i="93"/>
  <c r="I130" i="93" s="1"/>
  <c r="H96" i="93"/>
  <c r="I109" i="93"/>
  <c r="H7" i="93"/>
  <c r="AF17" i="92" s="1"/>
  <c r="C17" i="92" s="1"/>
  <c r="H10" i="93"/>
  <c r="I10" i="93" s="1"/>
  <c r="H12" i="93"/>
  <c r="I12" i="93" s="1"/>
  <c r="H13" i="93"/>
  <c r="I13" i="93" s="1"/>
  <c r="AG4" i="92"/>
  <c r="S21" i="90"/>
  <c r="AG13" i="90"/>
  <c r="S21" i="89"/>
  <c r="AH22" i="89"/>
  <c r="F19" i="89"/>
  <c r="F16" i="89" s="1"/>
  <c r="AG13" i="89"/>
  <c r="F10" i="88"/>
  <c r="F12" i="88"/>
  <c r="F75" i="88"/>
  <c r="E7" i="88"/>
  <c r="C8" i="88"/>
  <c r="G8" i="88"/>
  <c r="E9" i="88"/>
  <c r="C10" i="88"/>
  <c r="G10" i="88"/>
  <c r="E11" i="88"/>
  <c r="C12" i="88"/>
  <c r="G12" i="88"/>
  <c r="H12" i="88" s="1"/>
  <c r="I12" i="88" s="1"/>
  <c r="AF23" i="149" s="1"/>
  <c r="E13" i="88"/>
  <c r="F8" i="88"/>
  <c r="H116" i="88"/>
  <c r="B7" i="88"/>
  <c r="F7" i="88"/>
  <c r="D8" i="88"/>
  <c r="B9" i="88"/>
  <c r="F9" i="88"/>
  <c r="D10" i="88"/>
  <c r="B11" i="88"/>
  <c r="F11" i="88"/>
  <c r="D12" i="88"/>
  <c r="B13" i="88"/>
  <c r="B8" i="88"/>
  <c r="B10" i="88"/>
  <c r="B12" i="88"/>
  <c r="H21" i="88"/>
  <c r="T17" i="148" s="1"/>
  <c r="E8" i="88"/>
  <c r="E10" i="88"/>
  <c r="E12" i="88"/>
  <c r="AG4" i="90"/>
  <c r="AG18" i="90"/>
  <c r="AH22" i="90"/>
  <c r="S23" i="90"/>
  <c r="D16" i="90"/>
  <c r="S17" i="90"/>
  <c r="S20" i="90"/>
  <c r="S24" i="90"/>
  <c r="K19" i="90"/>
  <c r="K16" i="90" s="1"/>
  <c r="AD14" i="90" s="1"/>
  <c r="K14" i="90" s="1"/>
  <c r="AF19" i="90"/>
  <c r="S19" i="90" s="1"/>
  <c r="L19" i="89"/>
  <c r="K19" i="89"/>
  <c r="K16" i="89" s="1"/>
  <c r="AD14" i="89" s="1"/>
  <c r="K14" i="89" s="1"/>
  <c r="AG4" i="89"/>
  <c r="S23" i="89"/>
  <c r="D16" i="89"/>
  <c r="S17" i="89"/>
  <c r="S20" i="89"/>
  <c r="N23" i="89"/>
  <c r="AG23" i="89" s="1"/>
  <c r="S24" i="89"/>
  <c r="AG18" i="89"/>
  <c r="AF19" i="89"/>
  <c r="AF16" i="89" s="1"/>
  <c r="I46" i="88"/>
  <c r="I45" i="88" s="1"/>
  <c r="H45" i="88"/>
  <c r="T21" i="148" s="1"/>
  <c r="I62" i="88"/>
  <c r="I54" i="88"/>
  <c r="H53" i="88"/>
  <c r="T22" i="148" s="1"/>
  <c r="I24" i="88"/>
  <c r="T18" i="148"/>
  <c r="H37" i="88"/>
  <c r="T20" i="148" s="1"/>
  <c r="H69" i="88"/>
  <c r="T24" i="148" s="1"/>
  <c r="H96" i="88"/>
  <c r="I109" i="88"/>
  <c r="I78" i="88"/>
  <c r="I77" i="88" s="1"/>
  <c r="H77" i="88"/>
  <c r="H109" i="88"/>
  <c r="I126" i="88"/>
  <c r="H130" i="88"/>
  <c r="I131" i="88"/>
  <c r="I130" i="88" s="1"/>
  <c r="H7" i="88"/>
  <c r="AF17" i="148" s="1"/>
  <c r="H10" i="88"/>
  <c r="I10" i="88" s="1"/>
  <c r="AF22" i="149"/>
  <c r="I96" i="88"/>
  <c r="H102" i="88"/>
  <c r="I116" i="88"/>
  <c r="H126" i="88"/>
  <c r="F8" i="82"/>
  <c r="B10" i="82"/>
  <c r="B12" i="82"/>
  <c r="E7" i="82"/>
  <c r="C8" i="82"/>
  <c r="G8" i="82"/>
  <c r="E9" i="82"/>
  <c r="C10" i="82"/>
  <c r="G10" i="82"/>
  <c r="E11" i="82"/>
  <c r="C12" i="82"/>
  <c r="G12" i="82"/>
  <c r="H12" i="82" s="1"/>
  <c r="I12" i="82" s="1"/>
  <c r="E13" i="82"/>
  <c r="F12" i="82"/>
  <c r="F75" i="82"/>
  <c r="H85" i="82"/>
  <c r="B7" i="82"/>
  <c r="F7" i="82"/>
  <c r="D8" i="82"/>
  <c r="B9" i="82"/>
  <c r="F9" i="82"/>
  <c r="D10" i="82"/>
  <c r="B11" i="82"/>
  <c r="F11" i="82"/>
  <c r="D12" i="82"/>
  <c r="B13" i="82"/>
  <c r="F13" i="82"/>
  <c r="B8" i="82"/>
  <c r="H77" i="82"/>
  <c r="E8" i="82"/>
  <c r="E10" i="82"/>
  <c r="E12" i="82"/>
  <c r="H21" i="82"/>
  <c r="T17" i="81" s="1"/>
  <c r="I15" i="82"/>
  <c r="I44" i="82"/>
  <c r="H45" i="82"/>
  <c r="T21" i="81" s="1"/>
  <c r="I96" i="82"/>
  <c r="H11" i="82"/>
  <c r="I11" i="82" s="1"/>
  <c r="I45" i="82"/>
  <c r="I53" i="82"/>
  <c r="T22" i="80" s="1"/>
  <c r="I110" i="82"/>
  <c r="I109" i="82" s="1"/>
  <c r="H109" i="82"/>
  <c r="I117" i="82"/>
  <c r="I116" i="82" s="1"/>
  <c r="H116" i="82"/>
  <c r="H7" i="82"/>
  <c r="H8" i="82"/>
  <c r="I8" i="82" s="1"/>
  <c r="H10" i="82"/>
  <c r="I10" i="82" s="1"/>
  <c r="H5" i="82"/>
  <c r="H25" i="82"/>
  <c r="T18" i="81" s="1"/>
  <c r="I38" i="82"/>
  <c r="I37" i="82" s="1"/>
  <c r="H37" i="82"/>
  <c r="T20" i="81" s="1"/>
  <c r="I77" i="82"/>
  <c r="I123" i="82"/>
  <c r="I126" i="82" s="1"/>
  <c r="H126" i="82"/>
  <c r="H53" i="82"/>
  <c r="T22" i="81" s="1"/>
  <c r="H69" i="82"/>
  <c r="T24" i="81" s="1"/>
  <c r="H96" i="82"/>
  <c r="H102" i="82"/>
  <c r="I131" i="82"/>
  <c r="I130" i="82" s="1"/>
  <c r="AG4" i="81"/>
  <c r="AG4" i="80"/>
  <c r="AE19" i="74"/>
  <c r="AD19" i="74"/>
  <c r="AC19" i="74"/>
  <c r="AB19" i="74"/>
  <c r="AA19" i="74"/>
  <c r="Z19" i="74"/>
  <c r="Y19" i="74"/>
  <c r="X19" i="74"/>
  <c r="W19" i="74"/>
  <c r="V19" i="74"/>
  <c r="M19" i="74"/>
  <c r="H19" i="74"/>
  <c r="G19" i="74"/>
  <c r="D19" i="74"/>
  <c r="M16" i="74"/>
  <c r="H16" i="74"/>
  <c r="G16" i="74"/>
  <c r="N15" i="74"/>
  <c r="S13" i="74"/>
  <c r="V8" i="74"/>
  <c r="M8" i="74"/>
  <c r="N7" i="74"/>
  <c r="N5" i="74"/>
  <c r="U4" i="74"/>
  <c r="AG4" i="74" s="1"/>
  <c r="AE19" i="73"/>
  <c r="AD19" i="73"/>
  <c r="AC19" i="73"/>
  <c r="AB19" i="73"/>
  <c r="AA19" i="73"/>
  <c r="Z19" i="73"/>
  <c r="Y19" i="73"/>
  <c r="X19" i="73"/>
  <c r="W19" i="73"/>
  <c r="V19" i="73"/>
  <c r="M19" i="73"/>
  <c r="H19" i="73"/>
  <c r="G19" i="73"/>
  <c r="D19" i="73"/>
  <c r="M16" i="73"/>
  <c r="H16" i="73"/>
  <c r="G16" i="73"/>
  <c r="N15" i="73"/>
  <c r="S13" i="73"/>
  <c r="V8" i="73"/>
  <c r="M8" i="73"/>
  <c r="N7" i="73"/>
  <c r="N5" i="73"/>
  <c r="AE19" i="72"/>
  <c r="AD19" i="72"/>
  <c r="AC19" i="72"/>
  <c r="AB19" i="72"/>
  <c r="AA19" i="72"/>
  <c r="Z19" i="72"/>
  <c r="Y19" i="72"/>
  <c r="X19" i="72"/>
  <c r="W19" i="72"/>
  <c r="V19" i="72"/>
  <c r="M19" i="72"/>
  <c r="M16" i="72" s="1"/>
  <c r="H19" i="72"/>
  <c r="H16" i="72" s="1"/>
  <c r="G19" i="72"/>
  <c r="G16" i="72" s="1"/>
  <c r="D19" i="72"/>
  <c r="N15" i="72"/>
  <c r="S13" i="72"/>
  <c r="V8" i="72"/>
  <c r="M8" i="72"/>
  <c r="N7" i="72"/>
  <c r="N5" i="72"/>
  <c r="H142" i="52"/>
  <c r="I142" i="52" s="1"/>
  <c r="H141" i="52"/>
  <c r="I141" i="52" s="1"/>
  <c r="H140" i="52"/>
  <c r="I140" i="52" s="1"/>
  <c r="H139" i="52"/>
  <c r="I139" i="52" s="1"/>
  <c r="H142" i="59"/>
  <c r="I142" i="59" s="1"/>
  <c r="H141" i="59"/>
  <c r="I141" i="59" s="1"/>
  <c r="H140" i="59"/>
  <c r="I140" i="59" s="1"/>
  <c r="H139" i="59"/>
  <c r="I139" i="59" s="1"/>
  <c r="AE19" i="71"/>
  <c r="AD19" i="71"/>
  <c r="AC19" i="71"/>
  <c r="AB19" i="71"/>
  <c r="AA19" i="71"/>
  <c r="Z19" i="71"/>
  <c r="Y19" i="71"/>
  <c r="X19" i="71"/>
  <c r="W19" i="71"/>
  <c r="V19" i="71"/>
  <c r="M19" i="71"/>
  <c r="H19" i="71"/>
  <c r="H16" i="71" s="1"/>
  <c r="G19" i="71"/>
  <c r="G16" i="71" s="1"/>
  <c r="D19" i="71"/>
  <c r="M16" i="71"/>
  <c r="N15" i="71"/>
  <c r="S13" i="71"/>
  <c r="V8" i="71"/>
  <c r="M8" i="71"/>
  <c r="N7" i="71"/>
  <c r="N5" i="71"/>
  <c r="AE19" i="70"/>
  <c r="AD19" i="70"/>
  <c r="AC19" i="70"/>
  <c r="AB19" i="70"/>
  <c r="AA19" i="70"/>
  <c r="Z19" i="70"/>
  <c r="Y19" i="70"/>
  <c r="X19" i="70"/>
  <c r="W19" i="70"/>
  <c r="V19" i="70"/>
  <c r="M19" i="70"/>
  <c r="M16" i="70" s="1"/>
  <c r="H19" i="70"/>
  <c r="H16" i="70" s="1"/>
  <c r="G19" i="70"/>
  <c r="G16" i="70" s="1"/>
  <c r="D19" i="70"/>
  <c r="N15" i="70"/>
  <c r="S13" i="70"/>
  <c r="V8" i="70"/>
  <c r="M8" i="70"/>
  <c r="N7" i="70"/>
  <c r="N5" i="70"/>
  <c r="W60" i="152" l="1"/>
  <c r="X60" i="152" s="1"/>
  <c r="Y60" i="152" s="1"/>
  <c r="AH13" i="114"/>
  <c r="L23" i="113"/>
  <c r="E23" i="113"/>
  <c r="AF23" i="91"/>
  <c r="E23" i="91" s="1"/>
  <c r="AF24" i="91"/>
  <c r="I23" i="113"/>
  <c r="T21" i="80"/>
  <c r="K23" i="113"/>
  <c r="C23" i="113"/>
  <c r="AF23" i="92"/>
  <c r="E23" i="92" s="1"/>
  <c r="J19" i="121"/>
  <c r="AH24" i="114"/>
  <c r="F21" i="114"/>
  <c r="AH17" i="113"/>
  <c r="AG17" i="113"/>
  <c r="L21" i="114"/>
  <c r="L19" i="121"/>
  <c r="L16" i="121" s="1"/>
  <c r="AE14" i="121" s="1"/>
  <c r="L14" i="121" s="1"/>
  <c r="I13" i="82"/>
  <c r="AF24" i="81"/>
  <c r="I56" i="82"/>
  <c r="T20" i="80"/>
  <c r="H61" i="82"/>
  <c r="T23" i="81" s="1"/>
  <c r="I5" i="82"/>
  <c r="AF17" i="81"/>
  <c r="AF18" i="81"/>
  <c r="N16" i="81"/>
  <c r="AF21" i="81"/>
  <c r="AF23" i="81"/>
  <c r="I69" i="82"/>
  <c r="T24" i="80" s="1"/>
  <c r="I21" i="82"/>
  <c r="T17" i="80" s="1"/>
  <c r="AF22" i="81"/>
  <c r="F22" i="81" s="1"/>
  <c r="I8" i="93"/>
  <c r="AF18" i="92"/>
  <c r="I11" i="93"/>
  <c r="AF22" i="91" s="1"/>
  <c r="AF22" i="92"/>
  <c r="K23" i="91"/>
  <c r="F23" i="91"/>
  <c r="J23" i="91"/>
  <c r="C23" i="91"/>
  <c r="L23" i="91"/>
  <c r="I23" i="91"/>
  <c r="S23" i="91"/>
  <c r="I25" i="93"/>
  <c r="T18" i="91" s="1"/>
  <c r="L17" i="92"/>
  <c r="K17" i="92"/>
  <c r="J17" i="92"/>
  <c r="S17" i="92"/>
  <c r="S23" i="92"/>
  <c r="F17" i="92"/>
  <c r="E17" i="92"/>
  <c r="I17" i="92"/>
  <c r="D17" i="92"/>
  <c r="D16" i="92" s="1"/>
  <c r="N25" i="92"/>
  <c r="N13" i="92"/>
  <c r="AF21" i="92"/>
  <c r="T22" i="91"/>
  <c r="L22" i="91" s="1"/>
  <c r="K23" i="92"/>
  <c r="F23" i="92"/>
  <c r="C23" i="92"/>
  <c r="L23" i="92"/>
  <c r="J23" i="92"/>
  <c r="S24" i="91"/>
  <c r="I21" i="93"/>
  <c r="T17" i="91"/>
  <c r="I45" i="93"/>
  <c r="T21" i="91" s="1"/>
  <c r="AF24" i="92"/>
  <c r="AF21" i="91"/>
  <c r="AF18" i="91"/>
  <c r="N16" i="91"/>
  <c r="T24" i="91"/>
  <c r="F24" i="91" s="1"/>
  <c r="T20" i="91"/>
  <c r="L20" i="105"/>
  <c r="E20" i="105"/>
  <c r="K20" i="105"/>
  <c r="I20" i="105"/>
  <c r="AF19" i="105"/>
  <c r="S19" i="105" s="1"/>
  <c r="F20" i="105"/>
  <c r="C20" i="105"/>
  <c r="S20" i="105"/>
  <c r="J20" i="105"/>
  <c r="L22" i="105"/>
  <c r="S22" i="105"/>
  <c r="I22" i="105"/>
  <c r="C22" i="105"/>
  <c r="J22" i="105"/>
  <c r="E22" i="105"/>
  <c r="F22" i="105"/>
  <c r="I21" i="105"/>
  <c r="S21" i="105"/>
  <c r="J21" i="105"/>
  <c r="C21" i="105"/>
  <c r="F21" i="105"/>
  <c r="K21" i="105"/>
  <c r="L21" i="105"/>
  <c r="E21" i="105"/>
  <c r="L24" i="105"/>
  <c r="K24" i="105"/>
  <c r="E24" i="105"/>
  <c r="I24" i="105"/>
  <c r="C24" i="105"/>
  <c r="S24" i="105"/>
  <c r="F24" i="105"/>
  <c r="AF18" i="106"/>
  <c r="N16" i="106"/>
  <c r="AF20" i="106"/>
  <c r="AF21" i="106"/>
  <c r="AF17" i="106"/>
  <c r="AF23" i="106"/>
  <c r="AF24" i="106"/>
  <c r="N13" i="105"/>
  <c r="N25" i="105"/>
  <c r="K22" i="105"/>
  <c r="K17" i="105"/>
  <c r="I17" i="105"/>
  <c r="C17" i="105"/>
  <c r="E17" i="105"/>
  <c r="S17" i="105"/>
  <c r="D17" i="105"/>
  <c r="D16" i="105" s="1"/>
  <c r="J17" i="105"/>
  <c r="F17" i="105"/>
  <c r="S22" i="106"/>
  <c r="C22" i="106"/>
  <c r="J22" i="106"/>
  <c r="E22" i="106"/>
  <c r="F22" i="106"/>
  <c r="K22" i="106"/>
  <c r="I22" i="106"/>
  <c r="K23" i="105"/>
  <c r="C23" i="105"/>
  <c r="L23" i="105"/>
  <c r="J23" i="105"/>
  <c r="F23" i="105"/>
  <c r="S23" i="105"/>
  <c r="I23" i="105"/>
  <c r="E23" i="105"/>
  <c r="J24" i="105"/>
  <c r="L17" i="105"/>
  <c r="K18" i="105"/>
  <c r="J18" i="105"/>
  <c r="S18" i="105"/>
  <c r="F18" i="105"/>
  <c r="C18" i="105"/>
  <c r="L18" i="105"/>
  <c r="I18" i="105"/>
  <c r="E18" i="105"/>
  <c r="L22" i="106"/>
  <c r="L13" i="113"/>
  <c r="L8" i="113" s="1"/>
  <c r="J13" i="113"/>
  <c r="K13" i="113"/>
  <c r="F13" i="113"/>
  <c r="D13" i="113"/>
  <c r="E13" i="113"/>
  <c r="C13" i="113"/>
  <c r="I24" i="113"/>
  <c r="J24" i="113"/>
  <c r="E24" i="113"/>
  <c r="K24" i="113"/>
  <c r="C24" i="113"/>
  <c r="F24" i="113"/>
  <c r="L24" i="113"/>
  <c r="S24" i="113"/>
  <c r="T18" i="114"/>
  <c r="E18" i="114" s="1"/>
  <c r="E21" i="114"/>
  <c r="K21" i="114"/>
  <c r="I9" i="112"/>
  <c r="AF20" i="114" s="1"/>
  <c r="AF17" i="114"/>
  <c r="N17" i="113"/>
  <c r="AG13" i="113"/>
  <c r="N24" i="114"/>
  <c r="AG24" i="114" s="1"/>
  <c r="I18" i="113"/>
  <c r="L18" i="113"/>
  <c r="E18" i="113"/>
  <c r="K18" i="113"/>
  <c r="C18" i="113"/>
  <c r="F18" i="113"/>
  <c r="S18" i="113"/>
  <c r="J18" i="113"/>
  <c r="I21" i="113"/>
  <c r="E21" i="113"/>
  <c r="C21" i="113"/>
  <c r="S21" i="113"/>
  <c r="K21" i="113"/>
  <c r="J21" i="113"/>
  <c r="F21" i="113"/>
  <c r="L21" i="113"/>
  <c r="K22" i="113"/>
  <c r="S22" i="113"/>
  <c r="I22" i="113"/>
  <c r="J22" i="113"/>
  <c r="E22" i="113"/>
  <c r="F22" i="113"/>
  <c r="C22" i="113"/>
  <c r="C21" i="114"/>
  <c r="I21" i="114"/>
  <c r="I20" i="113"/>
  <c r="E20" i="113"/>
  <c r="C20" i="113"/>
  <c r="J20" i="113"/>
  <c r="K20" i="113"/>
  <c r="L20" i="113"/>
  <c r="F20" i="113"/>
  <c r="S20" i="113"/>
  <c r="AF19" i="113"/>
  <c r="F23" i="113"/>
  <c r="N22" i="114"/>
  <c r="AG22" i="114" s="1"/>
  <c r="AH22" i="114"/>
  <c r="L22" i="113"/>
  <c r="J16" i="121"/>
  <c r="L17" i="122"/>
  <c r="C17" i="122"/>
  <c r="E17" i="122"/>
  <c r="K17" i="122"/>
  <c r="I17" i="122"/>
  <c r="F17" i="122"/>
  <c r="D17" i="122"/>
  <c r="D16" i="122" s="1"/>
  <c r="S17" i="122"/>
  <c r="L22" i="122"/>
  <c r="I22" i="122"/>
  <c r="E22" i="122"/>
  <c r="S22" i="122"/>
  <c r="K22" i="122"/>
  <c r="C22" i="122"/>
  <c r="F22" i="122"/>
  <c r="J22" i="122"/>
  <c r="I21" i="122"/>
  <c r="L21" i="122"/>
  <c r="J21" i="122"/>
  <c r="F21" i="122"/>
  <c r="S21" i="122"/>
  <c r="C21" i="122"/>
  <c r="K21" i="122"/>
  <c r="E21" i="122"/>
  <c r="AH23" i="121"/>
  <c r="N23" i="121"/>
  <c r="AG23" i="121" s="1"/>
  <c r="AH20" i="121"/>
  <c r="N20" i="121"/>
  <c r="C19" i="121"/>
  <c r="C16" i="121" s="1"/>
  <c r="L20" i="122"/>
  <c r="I20" i="122"/>
  <c r="F20" i="122"/>
  <c r="S20" i="122"/>
  <c r="E20" i="122"/>
  <c r="C20" i="122"/>
  <c r="K20" i="122"/>
  <c r="AF19" i="122"/>
  <c r="S19" i="122" s="1"/>
  <c r="J20" i="122"/>
  <c r="AG18" i="121"/>
  <c r="F19" i="121"/>
  <c r="F16" i="121" s="1"/>
  <c r="I19" i="121"/>
  <c r="I16" i="121" s="1"/>
  <c r="AB15" i="121" s="1"/>
  <c r="S15" i="121" s="1"/>
  <c r="N17" i="121"/>
  <c r="AH17" i="121"/>
  <c r="L13" i="121"/>
  <c r="L8" i="121" s="1"/>
  <c r="C13" i="121"/>
  <c r="F13" i="121"/>
  <c r="K13" i="121"/>
  <c r="J13" i="121"/>
  <c r="E13" i="121"/>
  <c r="D13" i="121"/>
  <c r="AG13" i="121"/>
  <c r="S19" i="121"/>
  <c r="AF16" i="121"/>
  <c r="L24" i="122"/>
  <c r="I24" i="122"/>
  <c r="S24" i="122"/>
  <c r="K24" i="122"/>
  <c r="F24" i="122"/>
  <c r="C24" i="122"/>
  <c r="E24" i="122"/>
  <c r="N13" i="122"/>
  <c r="N25" i="122"/>
  <c r="AH21" i="121"/>
  <c r="N21" i="121"/>
  <c r="AG21" i="121" s="1"/>
  <c r="K19" i="121"/>
  <c r="K16" i="121" s="1"/>
  <c r="AD14" i="121" s="1"/>
  <c r="K14" i="121" s="1"/>
  <c r="N22" i="121"/>
  <c r="AG22" i="121" s="1"/>
  <c r="AH22" i="121"/>
  <c r="AH18" i="121"/>
  <c r="N18" i="121"/>
  <c r="AG17" i="121"/>
  <c r="J24" i="122"/>
  <c r="E19" i="121"/>
  <c r="E16" i="121" s="1"/>
  <c r="X14" i="121" s="1"/>
  <c r="AH24" i="121"/>
  <c r="N24" i="121"/>
  <c r="AG24" i="121" s="1"/>
  <c r="K23" i="122"/>
  <c r="C23" i="122"/>
  <c r="S23" i="122"/>
  <c r="J23" i="122"/>
  <c r="F23" i="122"/>
  <c r="I23" i="122"/>
  <c r="E23" i="122"/>
  <c r="L23" i="122"/>
  <c r="K18" i="122"/>
  <c r="J18" i="122"/>
  <c r="C18" i="122"/>
  <c r="F18" i="122"/>
  <c r="I18" i="122"/>
  <c r="L18" i="122"/>
  <c r="E18" i="122"/>
  <c r="S18" i="122"/>
  <c r="L19" i="129"/>
  <c r="L16" i="129" s="1"/>
  <c r="AE14" i="129" s="1"/>
  <c r="L14" i="129" s="1"/>
  <c r="AF16" i="129"/>
  <c r="AF25" i="129" s="1"/>
  <c r="AH24" i="129"/>
  <c r="N24" i="129"/>
  <c r="AG24" i="129" s="1"/>
  <c r="L13" i="129"/>
  <c r="L8" i="129" s="1"/>
  <c r="F13" i="129"/>
  <c r="J13" i="129"/>
  <c r="K13" i="129"/>
  <c r="E13" i="129"/>
  <c r="D13" i="129"/>
  <c r="C13" i="129"/>
  <c r="AG13" i="129"/>
  <c r="K23" i="128"/>
  <c r="F23" i="128"/>
  <c r="L23" i="128"/>
  <c r="J23" i="128"/>
  <c r="C23" i="128"/>
  <c r="S23" i="128"/>
  <c r="I23" i="128"/>
  <c r="E23" i="128"/>
  <c r="N23" i="129"/>
  <c r="AG23" i="129" s="1"/>
  <c r="AH23" i="129"/>
  <c r="N22" i="129"/>
  <c r="AG22" i="129" s="1"/>
  <c r="I18" i="128"/>
  <c r="J18" i="128"/>
  <c r="L18" i="128"/>
  <c r="E18" i="128"/>
  <c r="K18" i="128"/>
  <c r="C18" i="128"/>
  <c r="F18" i="128"/>
  <c r="S18" i="128"/>
  <c r="I19" i="129"/>
  <c r="I16" i="129" s="1"/>
  <c r="AB15" i="129" s="1"/>
  <c r="S15" i="129" s="1"/>
  <c r="J19" i="129"/>
  <c r="J16" i="129" s="1"/>
  <c r="AH22" i="129"/>
  <c r="AG18" i="129"/>
  <c r="N25" i="128"/>
  <c r="N13" i="128"/>
  <c r="I21" i="128"/>
  <c r="J21" i="128"/>
  <c r="K21" i="128"/>
  <c r="S21" i="128"/>
  <c r="C21" i="128"/>
  <c r="F21" i="128"/>
  <c r="E21" i="128"/>
  <c r="L21" i="128"/>
  <c r="AH20" i="129"/>
  <c r="N20" i="129"/>
  <c r="C19" i="129"/>
  <c r="C16" i="129" s="1"/>
  <c r="AH18" i="129"/>
  <c r="N18" i="129"/>
  <c r="J17" i="128"/>
  <c r="E17" i="128"/>
  <c r="F17" i="128"/>
  <c r="C17" i="128"/>
  <c r="K17" i="128"/>
  <c r="I17" i="128"/>
  <c r="S17" i="128"/>
  <c r="D17" i="128"/>
  <c r="D16" i="128" s="1"/>
  <c r="L24" i="128"/>
  <c r="J24" i="128"/>
  <c r="E24" i="128"/>
  <c r="K24" i="128"/>
  <c r="C24" i="128"/>
  <c r="I24" i="128"/>
  <c r="F24" i="128"/>
  <c r="S24" i="128"/>
  <c r="S22" i="128"/>
  <c r="E22" i="128"/>
  <c r="C22" i="128"/>
  <c r="I22" i="128"/>
  <c r="K22" i="128"/>
  <c r="F22" i="128"/>
  <c r="J22" i="128"/>
  <c r="N21" i="129"/>
  <c r="AG21" i="129" s="1"/>
  <c r="AH21" i="129"/>
  <c r="K19" i="129"/>
  <c r="K16" i="129" s="1"/>
  <c r="AD14" i="129" s="1"/>
  <c r="K14" i="129" s="1"/>
  <c r="N17" i="129"/>
  <c r="AH17" i="129"/>
  <c r="AG17" i="129"/>
  <c r="I20" i="128"/>
  <c r="K20" i="128"/>
  <c r="E20" i="128"/>
  <c r="C20" i="128"/>
  <c r="J20" i="128"/>
  <c r="S20" i="128"/>
  <c r="AF19" i="128"/>
  <c r="S19" i="128" s="1"/>
  <c r="F20" i="128"/>
  <c r="L20" i="128"/>
  <c r="E19" i="129"/>
  <c r="E16" i="129" s="1"/>
  <c r="X14" i="129" s="1"/>
  <c r="F19" i="129"/>
  <c r="F16" i="129" s="1"/>
  <c r="AE8" i="137"/>
  <c r="AE11" i="137" s="1"/>
  <c r="S11" i="137" s="1"/>
  <c r="I19" i="138"/>
  <c r="I17" i="148"/>
  <c r="S22" i="149"/>
  <c r="S23" i="149"/>
  <c r="I13" i="88"/>
  <c r="AF24" i="149" s="1"/>
  <c r="AF24" i="148"/>
  <c r="L17" i="148"/>
  <c r="D17" i="148"/>
  <c r="D16" i="148" s="1"/>
  <c r="E17" i="148"/>
  <c r="C17" i="148"/>
  <c r="K17" i="148"/>
  <c r="F17" i="148"/>
  <c r="J17" i="148"/>
  <c r="S17" i="148"/>
  <c r="AF23" i="148"/>
  <c r="I56" i="88"/>
  <c r="I61" i="88" s="1"/>
  <c r="N25" i="148"/>
  <c r="N13" i="148"/>
  <c r="I37" i="88"/>
  <c r="T20" i="149" s="1"/>
  <c r="I53" i="88"/>
  <c r="AF22" i="148"/>
  <c r="I22" i="148" s="1"/>
  <c r="AF21" i="148"/>
  <c r="I21" i="88"/>
  <c r="T17" i="149" s="1"/>
  <c r="T18" i="149"/>
  <c r="T22" i="149"/>
  <c r="F22" i="149" s="1"/>
  <c r="H61" i="88"/>
  <c r="T23" i="148" s="1"/>
  <c r="AF18" i="148"/>
  <c r="J18" i="148" s="1"/>
  <c r="N16" i="149"/>
  <c r="AF21" i="149"/>
  <c r="AF18" i="149"/>
  <c r="T24" i="149"/>
  <c r="J24" i="149" s="1"/>
  <c r="T21" i="149"/>
  <c r="S14" i="137"/>
  <c r="E14" i="137"/>
  <c r="N14" i="137" s="1"/>
  <c r="AH13" i="137"/>
  <c r="AG18" i="138"/>
  <c r="E19" i="138"/>
  <c r="E16" i="138" s="1"/>
  <c r="X14" i="138" s="1"/>
  <c r="AF16" i="138"/>
  <c r="AH17" i="138"/>
  <c r="N17" i="138"/>
  <c r="AH21" i="138"/>
  <c r="N21" i="138"/>
  <c r="AG21" i="138" s="1"/>
  <c r="N18" i="138"/>
  <c r="AH18" i="138"/>
  <c r="L19" i="138"/>
  <c r="L16" i="138" s="1"/>
  <c r="AE14" i="138" s="1"/>
  <c r="L14" i="138" s="1"/>
  <c r="J19" i="138"/>
  <c r="J16" i="138" s="1"/>
  <c r="AG17" i="138"/>
  <c r="AH19" i="137"/>
  <c r="AH16" i="137" s="1"/>
  <c r="AH23" i="138"/>
  <c r="N23" i="138"/>
  <c r="AG23" i="138" s="1"/>
  <c r="F19" i="138"/>
  <c r="F16" i="138" s="1"/>
  <c r="C19" i="138"/>
  <c r="C16" i="138" s="1"/>
  <c r="AH20" i="138"/>
  <c r="N20" i="138"/>
  <c r="S16" i="137"/>
  <c r="AF25" i="137"/>
  <c r="N24" i="138"/>
  <c r="AG24" i="138" s="1"/>
  <c r="AH24" i="138"/>
  <c r="L13" i="138"/>
  <c r="L8" i="138" s="1"/>
  <c r="E13" i="138"/>
  <c r="D13" i="138"/>
  <c r="C13" i="138"/>
  <c r="K13" i="138"/>
  <c r="F13" i="138"/>
  <c r="J13" i="138"/>
  <c r="AG13" i="138"/>
  <c r="K19" i="138"/>
  <c r="K16" i="138" s="1"/>
  <c r="AD14" i="138" s="1"/>
  <c r="K14" i="138" s="1"/>
  <c r="I16" i="138"/>
  <c r="AB15" i="138" s="1"/>
  <c r="S15" i="138" s="1"/>
  <c r="N19" i="137"/>
  <c r="AG20" i="137"/>
  <c r="AG19" i="137" s="1"/>
  <c r="AG16" i="137" s="1"/>
  <c r="K11" i="137"/>
  <c r="K8" i="137" s="1"/>
  <c r="AD8" i="137" s="1"/>
  <c r="L23" i="114"/>
  <c r="I23" i="114"/>
  <c r="J23" i="114"/>
  <c r="E23" i="114"/>
  <c r="C23" i="114"/>
  <c r="F23" i="114"/>
  <c r="H9" i="93"/>
  <c r="AF20" i="92" s="1"/>
  <c r="I7" i="93"/>
  <c r="I9" i="93" s="1"/>
  <c r="AF20" i="91" s="1"/>
  <c r="N22" i="89"/>
  <c r="AG22" i="89" s="1"/>
  <c r="AG17" i="89"/>
  <c r="I19" i="89"/>
  <c r="I16" i="89" s="1"/>
  <c r="AB15" i="89" s="1"/>
  <c r="S15" i="89" s="1"/>
  <c r="AH18" i="90"/>
  <c r="N18" i="90"/>
  <c r="AH24" i="90"/>
  <c r="N24" i="90"/>
  <c r="AG24" i="90" s="1"/>
  <c r="J19" i="90"/>
  <c r="J16" i="90" s="1"/>
  <c r="AH13" i="90"/>
  <c r="L19" i="90"/>
  <c r="L16" i="90" s="1"/>
  <c r="AE14" i="90" s="1"/>
  <c r="L14" i="90" s="1"/>
  <c r="N22" i="90"/>
  <c r="AG22" i="90" s="1"/>
  <c r="AH21" i="90"/>
  <c r="N21" i="90"/>
  <c r="AG21" i="90" s="1"/>
  <c r="AH20" i="90"/>
  <c r="C19" i="90"/>
  <c r="C16" i="90" s="1"/>
  <c r="N20" i="90"/>
  <c r="AF16" i="90"/>
  <c r="F19" i="90"/>
  <c r="F16" i="90" s="1"/>
  <c r="E19" i="90"/>
  <c r="E16" i="90" s="1"/>
  <c r="X14" i="90" s="1"/>
  <c r="AG17" i="90"/>
  <c r="AH23" i="90"/>
  <c r="N23" i="90"/>
  <c r="AG23" i="90" s="1"/>
  <c r="I19" i="90"/>
  <c r="I16" i="90" s="1"/>
  <c r="AB15" i="90" s="1"/>
  <c r="S15" i="90" s="1"/>
  <c r="AH17" i="90"/>
  <c r="N17" i="90"/>
  <c r="AF25" i="89"/>
  <c r="S16" i="89"/>
  <c r="S19" i="89"/>
  <c r="L16" i="89"/>
  <c r="AE14" i="89" s="1"/>
  <c r="L14" i="89" s="1"/>
  <c r="AH17" i="89"/>
  <c r="N17" i="89"/>
  <c r="AH13" i="89"/>
  <c r="J19" i="89"/>
  <c r="J16" i="89" s="1"/>
  <c r="AH21" i="89"/>
  <c r="N21" i="89"/>
  <c r="AG21" i="89" s="1"/>
  <c r="AH18" i="89"/>
  <c r="N18" i="89"/>
  <c r="AH20" i="89"/>
  <c r="N20" i="89"/>
  <c r="C19" i="89"/>
  <c r="C16" i="89" s="1"/>
  <c r="E19" i="89"/>
  <c r="E16" i="89" s="1"/>
  <c r="X14" i="89" s="1"/>
  <c r="AH24" i="89"/>
  <c r="N24" i="89"/>
  <c r="AG24" i="89" s="1"/>
  <c r="AH23" i="89"/>
  <c r="H9" i="88"/>
  <c r="AF20" i="148" s="1"/>
  <c r="I7" i="88"/>
  <c r="I9" i="88" s="1"/>
  <c r="AF20" i="149" s="1"/>
  <c r="H9" i="82"/>
  <c r="AF20" i="81" s="1"/>
  <c r="I7" i="82"/>
  <c r="AH4" i="74"/>
  <c r="H140" i="67"/>
  <c r="I140" i="67" s="1"/>
  <c r="H141" i="67"/>
  <c r="H142" i="67"/>
  <c r="I142" i="67" s="1"/>
  <c r="H139" i="67"/>
  <c r="I141" i="67"/>
  <c r="I139" i="67"/>
  <c r="I23" i="92" l="1"/>
  <c r="J24" i="91"/>
  <c r="E22" i="149"/>
  <c r="AE8" i="129"/>
  <c r="AE11" i="129" s="1"/>
  <c r="S11" i="129" s="1"/>
  <c r="AH23" i="113"/>
  <c r="N23" i="113"/>
  <c r="AG23" i="113" s="1"/>
  <c r="K22" i="149"/>
  <c r="S16" i="129"/>
  <c r="AF17" i="149"/>
  <c r="J22" i="149"/>
  <c r="J19" i="113"/>
  <c r="J16" i="113" s="1"/>
  <c r="N22" i="105"/>
  <c r="AG22" i="105" s="1"/>
  <c r="N23" i="92"/>
  <c r="AG23" i="92" s="1"/>
  <c r="AE8" i="121"/>
  <c r="AF16" i="122"/>
  <c r="AE10" i="129"/>
  <c r="AD10" i="129" s="1"/>
  <c r="S10" i="129" s="1"/>
  <c r="I11" i="137"/>
  <c r="F11" i="137" s="1"/>
  <c r="AE10" i="137"/>
  <c r="AD10" i="137" s="1"/>
  <c r="I10" i="137" s="1"/>
  <c r="J10" i="137" s="1"/>
  <c r="AH23" i="92"/>
  <c r="AH23" i="91"/>
  <c r="K24" i="91"/>
  <c r="I19" i="105"/>
  <c r="C19" i="113"/>
  <c r="C16" i="113" s="1"/>
  <c r="AH13" i="113"/>
  <c r="E19" i="113"/>
  <c r="E16" i="113" s="1"/>
  <c r="X14" i="113" s="1"/>
  <c r="E14" i="113" s="1"/>
  <c r="K19" i="113"/>
  <c r="K16" i="113" s="1"/>
  <c r="AD14" i="113" s="1"/>
  <c r="K14" i="113" s="1"/>
  <c r="I19" i="113"/>
  <c r="J19" i="122"/>
  <c r="J16" i="122" s="1"/>
  <c r="I19" i="122"/>
  <c r="I16" i="122" s="1"/>
  <c r="AB15" i="122" s="1"/>
  <c r="S15" i="122" s="1"/>
  <c r="L20" i="81"/>
  <c r="I20" i="81"/>
  <c r="K20" i="81"/>
  <c r="E20" i="81"/>
  <c r="AF19" i="81"/>
  <c r="F20" i="81"/>
  <c r="C20" i="81"/>
  <c r="S20" i="81"/>
  <c r="J20" i="81"/>
  <c r="L17" i="81"/>
  <c r="D17" i="81"/>
  <c r="D16" i="81" s="1"/>
  <c r="C17" i="81"/>
  <c r="S17" i="81"/>
  <c r="I17" i="81"/>
  <c r="J17" i="81"/>
  <c r="E17" i="81"/>
  <c r="F17" i="81"/>
  <c r="AF21" i="80"/>
  <c r="AF17" i="80"/>
  <c r="AF18" i="80"/>
  <c r="N16" i="80"/>
  <c r="AF23" i="80"/>
  <c r="AF24" i="80"/>
  <c r="I9" i="82"/>
  <c r="AF20" i="80" s="1"/>
  <c r="J20" i="80" s="1"/>
  <c r="AF22" i="80"/>
  <c r="I21" i="81"/>
  <c r="E21" i="81"/>
  <c r="C21" i="81"/>
  <c r="F21" i="81"/>
  <c r="L21" i="81"/>
  <c r="K21" i="81"/>
  <c r="J21" i="81"/>
  <c r="S21" i="81"/>
  <c r="L22" i="81"/>
  <c r="I22" i="81"/>
  <c r="S22" i="81"/>
  <c r="E22" i="81"/>
  <c r="K22" i="81"/>
  <c r="C22" i="81"/>
  <c r="J22" i="81"/>
  <c r="N13" i="81"/>
  <c r="N25" i="81"/>
  <c r="I61" i="82"/>
  <c r="T23" i="80" s="1"/>
  <c r="K23" i="81"/>
  <c r="L23" i="81"/>
  <c r="C23" i="81"/>
  <c r="J23" i="81"/>
  <c r="F23" i="81"/>
  <c r="I23" i="81"/>
  <c r="S23" i="81"/>
  <c r="E23" i="81"/>
  <c r="K18" i="81"/>
  <c r="L18" i="81"/>
  <c r="F18" i="81"/>
  <c r="C18" i="81"/>
  <c r="J18" i="81"/>
  <c r="S18" i="81"/>
  <c r="E18" i="81"/>
  <c r="I18" i="81"/>
  <c r="L24" i="81"/>
  <c r="E24" i="81"/>
  <c r="I24" i="81"/>
  <c r="K24" i="81"/>
  <c r="C24" i="81"/>
  <c r="J24" i="81"/>
  <c r="S24" i="81"/>
  <c r="F24" i="81"/>
  <c r="K17" i="81"/>
  <c r="L20" i="91"/>
  <c r="K20" i="91"/>
  <c r="AF19" i="91"/>
  <c r="I20" i="91"/>
  <c r="E20" i="91"/>
  <c r="S20" i="91"/>
  <c r="C20" i="91"/>
  <c r="F20" i="91"/>
  <c r="J20" i="91"/>
  <c r="S22" i="92"/>
  <c r="J22" i="92"/>
  <c r="K22" i="92"/>
  <c r="I22" i="92"/>
  <c r="E22" i="92"/>
  <c r="F22" i="92"/>
  <c r="C22" i="92"/>
  <c r="I20" i="92"/>
  <c r="K20" i="92"/>
  <c r="J20" i="92"/>
  <c r="E20" i="92"/>
  <c r="C20" i="92"/>
  <c r="L20" i="92"/>
  <c r="S20" i="92"/>
  <c r="F20" i="92"/>
  <c r="AF19" i="92"/>
  <c r="AF17" i="91"/>
  <c r="I21" i="92"/>
  <c r="L21" i="92"/>
  <c r="S21" i="92"/>
  <c r="K21" i="92"/>
  <c r="J21" i="92"/>
  <c r="F21" i="92"/>
  <c r="E21" i="92"/>
  <c r="C21" i="92"/>
  <c r="C22" i="91"/>
  <c r="F22" i="91"/>
  <c r="S22" i="91"/>
  <c r="J22" i="91"/>
  <c r="E22" i="91"/>
  <c r="K22" i="91"/>
  <c r="I22" i="91"/>
  <c r="N23" i="91"/>
  <c r="AG23" i="91" s="1"/>
  <c r="N13" i="91"/>
  <c r="N25" i="91"/>
  <c r="I21" i="91"/>
  <c r="L21" i="91"/>
  <c r="C21" i="91"/>
  <c r="S21" i="91"/>
  <c r="K21" i="91"/>
  <c r="J21" i="91"/>
  <c r="E21" i="91"/>
  <c r="F21" i="91"/>
  <c r="E24" i="91"/>
  <c r="L13" i="92"/>
  <c r="L8" i="92" s="1"/>
  <c r="J13" i="92"/>
  <c r="K13" i="92"/>
  <c r="E13" i="92"/>
  <c r="F13" i="92"/>
  <c r="AG13" i="92"/>
  <c r="C13" i="92"/>
  <c r="D13" i="92"/>
  <c r="L22" i="92"/>
  <c r="I18" i="92"/>
  <c r="J18" i="92"/>
  <c r="F18" i="92"/>
  <c r="S18" i="92"/>
  <c r="L18" i="92"/>
  <c r="E18" i="92"/>
  <c r="C18" i="92"/>
  <c r="K18" i="92"/>
  <c r="AG17" i="92"/>
  <c r="AH17" i="92"/>
  <c r="L24" i="91"/>
  <c r="N17" i="92"/>
  <c r="K18" i="91"/>
  <c r="C18" i="91"/>
  <c r="L18" i="91"/>
  <c r="J18" i="91"/>
  <c r="F18" i="91"/>
  <c r="S18" i="91"/>
  <c r="I18" i="91"/>
  <c r="E18" i="91"/>
  <c r="L24" i="92"/>
  <c r="J24" i="92"/>
  <c r="I24" i="92"/>
  <c r="E24" i="92"/>
  <c r="K24" i="92"/>
  <c r="C24" i="92"/>
  <c r="S24" i="92"/>
  <c r="F24" i="92"/>
  <c r="C24" i="91"/>
  <c r="I24" i="91"/>
  <c r="L24" i="106"/>
  <c r="K24" i="106"/>
  <c r="C24" i="106"/>
  <c r="E24" i="106"/>
  <c r="J24" i="106"/>
  <c r="I24" i="106"/>
  <c r="F24" i="106"/>
  <c r="S24" i="106"/>
  <c r="J19" i="105"/>
  <c r="J16" i="105" s="1"/>
  <c r="K19" i="105"/>
  <c r="K16" i="105" s="1"/>
  <c r="AD14" i="105" s="1"/>
  <c r="K14" i="105" s="1"/>
  <c r="AH17" i="105"/>
  <c r="N17" i="105"/>
  <c r="L17" i="106"/>
  <c r="I17" i="106"/>
  <c r="D17" i="106"/>
  <c r="D16" i="106" s="1"/>
  <c r="E17" i="106"/>
  <c r="S17" i="106"/>
  <c r="J17" i="106"/>
  <c r="K17" i="106"/>
  <c r="F17" i="106"/>
  <c r="K18" i="106"/>
  <c r="F18" i="106"/>
  <c r="J18" i="106"/>
  <c r="C18" i="106"/>
  <c r="L18" i="106"/>
  <c r="S18" i="106"/>
  <c r="I18" i="106"/>
  <c r="E18" i="106"/>
  <c r="N24" i="105"/>
  <c r="AG24" i="105" s="1"/>
  <c r="AH24" i="105"/>
  <c r="AH22" i="105"/>
  <c r="AF16" i="105"/>
  <c r="F19" i="105"/>
  <c r="F16" i="105" s="1"/>
  <c r="E19" i="105"/>
  <c r="E16" i="105" s="1"/>
  <c r="X14" i="105" s="1"/>
  <c r="AH23" i="105"/>
  <c r="N23" i="105"/>
  <c r="AG23" i="105" s="1"/>
  <c r="AG17" i="105"/>
  <c r="L20" i="106"/>
  <c r="E20" i="106"/>
  <c r="K20" i="106"/>
  <c r="I20" i="106"/>
  <c r="C20" i="106"/>
  <c r="AF19" i="106"/>
  <c r="S19" i="106" s="1"/>
  <c r="S20" i="106"/>
  <c r="F20" i="106"/>
  <c r="J20" i="106"/>
  <c r="AG18" i="105"/>
  <c r="K23" i="106"/>
  <c r="J23" i="106"/>
  <c r="F23" i="106"/>
  <c r="C23" i="106"/>
  <c r="L23" i="106"/>
  <c r="S23" i="106"/>
  <c r="I23" i="106"/>
  <c r="E23" i="106"/>
  <c r="N25" i="106"/>
  <c r="N13" i="106"/>
  <c r="N20" i="105"/>
  <c r="C19" i="105"/>
  <c r="C16" i="105" s="1"/>
  <c r="AH20" i="105"/>
  <c r="AH18" i="105"/>
  <c r="N18" i="105"/>
  <c r="N22" i="106"/>
  <c r="AG22" i="106" s="1"/>
  <c r="AH22" i="106"/>
  <c r="I16" i="105"/>
  <c r="AB15" i="105" s="1"/>
  <c r="S15" i="105" s="1"/>
  <c r="L13" i="105"/>
  <c r="L8" i="105" s="1"/>
  <c r="C13" i="105"/>
  <c r="K13" i="105"/>
  <c r="J13" i="105"/>
  <c r="E13" i="105"/>
  <c r="F13" i="105"/>
  <c r="D13" i="105"/>
  <c r="AG13" i="105"/>
  <c r="I21" i="106"/>
  <c r="L21" i="106"/>
  <c r="S21" i="106"/>
  <c r="C21" i="106"/>
  <c r="E21" i="106"/>
  <c r="J21" i="106"/>
  <c r="K21" i="106"/>
  <c r="F21" i="106"/>
  <c r="C17" i="106"/>
  <c r="AH21" i="105"/>
  <c r="N21" i="105"/>
  <c r="AG21" i="105" s="1"/>
  <c r="L19" i="105"/>
  <c r="L16" i="105" s="1"/>
  <c r="AE14" i="105" s="1"/>
  <c r="L14" i="105" s="1"/>
  <c r="S19" i="113"/>
  <c r="AF16" i="113"/>
  <c r="AH22" i="113"/>
  <c r="N18" i="113"/>
  <c r="AH18" i="113"/>
  <c r="I16" i="113"/>
  <c r="AB15" i="113" s="1"/>
  <c r="S15" i="113" s="1"/>
  <c r="F20" i="114"/>
  <c r="F19" i="114" s="1"/>
  <c r="L20" i="114"/>
  <c r="L19" i="114" s="1"/>
  <c r="E20" i="114"/>
  <c r="I20" i="114"/>
  <c r="I19" i="114" s="1"/>
  <c r="K20" i="114"/>
  <c r="K19" i="114" s="1"/>
  <c r="C20" i="114"/>
  <c r="C19" i="114" s="1"/>
  <c r="S20" i="114"/>
  <c r="AF19" i="114"/>
  <c r="S19" i="114" s="1"/>
  <c r="J20" i="114"/>
  <c r="J19" i="114" s="1"/>
  <c r="F19" i="113"/>
  <c r="F16" i="113" s="1"/>
  <c r="N20" i="113"/>
  <c r="AG20" i="113" s="1"/>
  <c r="AH20" i="113"/>
  <c r="AH21" i="114"/>
  <c r="N21" i="114"/>
  <c r="AG21" i="114" s="1"/>
  <c r="E19" i="114"/>
  <c r="L19" i="113"/>
  <c r="L16" i="113" s="1"/>
  <c r="AE14" i="113" s="1"/>
  <c r="L14" i="113" s="1"/>
  <c r="AE8" i="113" s="1"/>
  <c r="AE10" i="113" s="1"/>
  <c r="AD10" i="113" s="1"/>
  <c r="S10" i="113" s="1"/>
  <c r="N22" i="113"/>
  <c r="AG22" i="113" s="1"/>
  <c r="N21" i="113"/>
  <c r="AG21" i="113" s="1"/>
  <c r="AH21" i="113"/>
  <c r="AG18" i="113"/>
  <c r="L17" i="114"/>
  <c r="D17" i="114"/>
  <c r="D16" i="114" s="1"/>
  <c r="E17" i="114"/>
  <c r="J17" i="114"/>
  <c r="K17" i="114"/>
  <c r="F17" i="114"/>
  <c r="S17" i="114"/>
  <c r="C17" i="114"/>
  <c r="K18" i="114"/>
  <c r="J18" i="114"/>
  <c r="C18" i="114"/>
  <c r="L18" i="114"/>
  <c r="F18" i="114"/>
  <c r="I18" i="114"/>
  <c r="AH24" i="113"/>
  <c r="N24" i="113"/>
  <c r="AG24" i="113" s="1"/>
  <c r="I17" i="114"/>
  <c r="AE11" i="121"/>
  <c r="AE10" i="121"/>
  <c r="AD10" i="121" s="1"/>
  <c r="I10" i="121" s="1"/>
  <c r="AH20" i="122"/>
  <c r="C19" i="122"/>
  <c r="C16" i="122" s="1"/>
  <c r="N20" i="122"/>
  <c r="E14" i="121"/>
  <c r="N14" i="121" s="1"/>
  <c r="S14" i="121"/>
  <c r="S16" i="121"/>
  <c r="AF25" i="121"/>
  <c r="E19" i="122"/>
  <c r="N18" i="122"/>
  <c r="AH18" i="122"/>
  <c r="AH19" i="121"/>
  <c r="AH16" i="121" s="1"/>
  <c r="N17" i="122"/>
  <c r="AH17" i="122"/>
  <c r="N23" i="122"/>
  <c r="AG23" i="122" s="1"/>
  <c r="AH23" i="122"/>
  <c r="L13" i="122"/>
  <c r="L8" i="122" s="1"/>
  <c r="F13" i="122"/>
  <c r="K13" i="122"/>
  <c r="D13" i="122"/>
  <c r="C13" i="122"/>
  <c r="E13" i="122"/>
  <c r="J13" i="122"/>
  <c r="AG13" i="122"/>
  <c r="AH13" i="121"/>
  <c r="AF25" i="122"/>
  <c r="S16" i="122"/>
  <c r="AG17" i="122"/>
  <c r="AG18" i="122"/>
  <c r="L19" i="122"/>
  <c r="L16" i="122" s="1"/>
  <c r="AE14" i="122" s="1"/>
  <c r="L14" i="122" s="1"/>
  <c r="N24" i="122"/>
  <c r="AG24" i="122" s="1"/>
  <c r="AH24" i="122"/>
  <c r="K19" i="122"/>
  <c r="K16" i="122" s="1"/>
  <c r="AD14" i="122" s="1"/>
  <c r="K14" i="122" s="1"/>
  <c r="F19" i="122"/>
  <c r="F16" i="122" s="1"/>
  <c r="N19" i="121"/>
  <c r="AG20" i="121"/>
  <c r="AG19" i="121" s="1"/>
  <c r="AG16" i="121" s="1"/>
  <c r="AH21" i="122"/>
  <c r="N21" i="122"/>
  <c r="AG21" i="122" s="1"/>
  <c r="N22" i="122"/>
  <c r="AG22" i="122" s="1"/>
  <c r="AH22" i="122"/>
  <c r="E16" i="122"/>
  <c r="X14" i="122" s="1"/>
  <c r="AG18" i="128"/>
  <c r="F19" i="128"/>
  <c r="F16" i="128" s="1"/>
  <c r="AH24" i="128"/>
  <c r="N24" i="128"/>
  <c r="AG24" i="128" s="1"/>
  <c r="L13" i="128"/>
  <c r="L8" i="128" s="1"/>
  <c r="F13" i="128"/>
  <c r="J13" i="128"/>
  <c r="D13" i="128"/>
  <c r="K13" i="128"/>
  <c r="E13" i="128"/>
  <c r="C13" i="128"/>
  <c r="AG13" i="128"/>
  <c r="AF16" i="128"/>
  <c r="E19" i="128"/>
  <c r="E16" i="128" s="1"/>
  <c r="X14" i="128" s="1"/>
  <c r="S25" i="129"/>
  <c r="AG25" i="129" s="1"/>
  <c r="T25" i="129"/>
  <c r="K19" i="128"/>
  <c r="N19" i="129"/>
  <c r="AG20" i="129"/>
  <c r="AG19" i="129" s="1"/>
  <c r="AG16" i="129" s="1"/>
  <c r="N18" i="128"/>
  <c r="AH18" i="128"/>
  <c r="AH20" i="128"/>
  <c r="C19" i="128"/>
  <c r="C16" i="128" s="1"/>
  <c r="N20" i="128"/>
  <c r="K16" i="128"/>
  <c r="AD14" i="128" s="1"/>
  <c r="K14" i="128" s="1"/>
  <c r="S14" i="129"/>
  <c r="E14" i="129"/>
  <c r="N14" i="129" s="1"/>
  <c r="AH22" i="128"/>
  <c r="N22" i="128"/>
  <c r="AG22" i="128" s="1"/>
  <c r="AH17" i="128"/>
  <c r="N17" i="128"/>
  <c r="L19" i="128"/>
  <c r="L16" i="128" s="1"/>
  <c r="AE14" i="128" s="1"/>
  <c r="L14" i="128" s="1"/>
  <c r="J19" i="128"/>
  <c r="J16" i="128" s="1"/>
  <c r="I19" i="128"/>
  <c r="I16" i="128" s="1"/>
  <c r="AB15" i="128" s="1"/>
  <c r="S15" i="128" s="1"/>
  <c r="AG17" i="128"/>
  <c r="AH19" i="129"/>
  <c r="AH16" i="129" s="1"/>
  <c r="AH21" i="128"/>
  <c r="N21" i="128"/>
  <c r="AG21" i="128" s="1"/>
  <c r="N23" i="128"/>
  <c r="AG23" i="128" s="1"/>
  <c r="AH23" i="128"/>
  <c r="AH13" i="129"/>
  <c r="J23" i="148"/>
  <c r="C22" i="149"/>
  <c r="L17" i="149"/>
  <c r="AG14" i="137"/>
  <c r="K18" i="148"/>
  <c r="L18" i="148"/>
  <c r="F18" i="148"/>
  <c r="S18" i="148"/>
  <c r="C18" i="148"/>
  <c r="E18" i="148"/>
  <c r="I18" i="148"/>
  <c r="T23" i="149"/>
  <c r="K18" i="149"/>
  <c r="J18" i="149"/>
  <c r="C18" i="149"/>
  <c r="F18" i="149"/>
  <c r="I18" i="149"/>
  <c r="L18" i="149"/>
  <c r="S18" i="149"/>
  <c r="E18" i="149"/>
  <c r="L13" i="148"/>
  <c r="L8" i="148" s="1"/>
  <c r="F13" i="148"/>
  <c r="D13" i="148"/>
  <c r="J13" i="148"/>
  <c r="K13" i="148"/>
  <c r="C13" i="148"/>
  <c r="E13" i="148"/>
  <c r="AG13" i="148"/>
  <c r="AG17" i="148"/>
  <c r="AH17" i="148"/>
  <c r="N17" i="148"/>
  <c r="K24" i="148"/>
  <c r="E24" i="148"/>
  <c r="F24" i="148"/>
  <c r="J24" i="148"/>
  <c r="C24" i="148"/>
  <c r="L24" i="148"/>
  <c r="I24" i="148"/>
  <c r="S24" i="148"/>
  <c r="C23" i="149"/>
  <c r="L22" i="149"/>
  <c r="L20" i="149"/>
  <c r="I20" i="149"/>
  <c r="C20" i="149"/>
  <c r="K20" i="149"/>
  <c r="AF19" i="149"/>
  <c r="S19" i="149" s="1"/>
  <c r="F20" i="149"/>
  <c r="S20" i="149"/>
  <c r="E20" i="149"/>
  <c r="N25" i="149"/>
  <c r="N13" i="149"/>
  <c r="I21" i="148"/>
  <c r="J21" i="148"/>
  <c r="E21" i="148"/>
  <c r="F21" i="148"/>
  <c r="S21" i="148"/>
  <c r="L21" i="148"/>
  <c r="C21" i="148"/>
  <c r="K21" i="148"/>
  <c r="K17" i="149"/>
  <c r="I17" i="149"/>
  <c r="C17" i="149"/>
  <c r="E17" i="149"/>
  <c r="F17" i="149"/>
  <c r="S17" i="149"/>
  <c r="J17" i="149"/>
  <c r="D17" i="149"/>
  <c r="D16" i="149" s="1"/>
  <c r="L22" i="148"/>
  <c r="K22" i="148"/>
  <c r="C22" i="148"/>
  <c r="E22" i="148"/>
  <c r="J22" i="148"/>
  <c r="F22" i="148"/>
  <c r="S22" i="148"/>
  <c r="J20" i="149"/>
  <c r="I20" i="148"/>
  <c r="L20" i="148"/>
  <c r="E20" i="148"/>
  <c r="K20" i="148"/>
  <c r="C20" i="148"/>
  <c r="J20" i="148"/>
  <c r="F20" i="148"/>
  <c r="S20" i="148"/>
  <c r="AF19" i="148"/>
  <c r="S19" i="148" s="1"/>
  <c r="I21" i="149"/>
  <c r="J21" i="149"/>
  <c r="L21" i="149"/>
  <c r="F21" i="149"/>
  <c r="C21" i="149"/>
  <c r="S21" i="149"/>
  <c r="E21" i="149"/>
  <c r="K21" i="149"/>
  <c r="K23" i="148"/>
  <c r="L23" i="148"/>
  <c r="F23" i="148"/>
  <c r="E23" i="148"/>
  <c r="S23" i="148"/>
  <c r="C23" i="148"/>
  <c r="I23" i="148"/>
  <c r="L24" i="149"/>
  <c r="I24" i="149"/>
  <c r="C24" i="149"/>
  <c r="E24" i="149"/>
  <c r="F24" i="149"/>
  <c r="S24" i="149"/>
  <c r="K24" i="149"/>
  <c r="I22" i="149"/>
  <c r="AH19" i="138"/>
  <c r="AH16" i="138" s="1"/>
  <c r="F10" i="137"/>
  <c r="S10" i="137"/>
  <c r="AF25" i="138"/>
  <c r="S16" i="138"/>
  <c r="N19" i="138"/>
  <c r="AG20" i="138"/>
  <c r="AG19" i="138" s="1"/>
  <c r="AG16" i="138" s="1"/>
  <c r="E11" i="137"/>
  <c r="S25" i="137"/>
  <c r="AG25" i="137" s="1"/>
  <c r="T25" i="137"/>
  <c r="AE8" i="138"/>
  <c r="AH13" i="138"/>
  <c r="S14" i="138"/>
  <c r="E14" i="138"/>
  <c r="N14" i="138" s="1"/>
  <c r="C11" i="137"/>
  <c r="J11" i="137"/>
  <c r="C10" i="137"/>
  <c r="G10" i="137"/>
  <c r="D11" i="137"/>
  <c r="G11" i="137"/>
  <c r="D10" i="137"/>
  <c r="E10" i="137"/>
  <c r="K11" i="129"/>
  <c r="K8" i="129" s="1"/>
  <c r="AD8" i="129" s="1"/>
  <c r="AD9" i="129" s="1"/>
  <c r="S9" i="129" s="1"/>
  <c r="I11" i="129"/>
  <c r="J11" i="129" s="1"/>
  <c r="I10" i="129"/>
  <c r="E10" i="129" s="1"/>
  <c r="I11" i="121"/>
  <c r="F11" i="121" s="1"/>
  <c r="S11" i="121"/>
  <c r="AG19" i="113"/>
  <c r="N23" i="114"/>
  <c r="AH23" i="114"/>
  <c r="AE8" i="90"/>
  <c r="AE8" i="89"/>
  <c r="E14" i="90"/>
  <c r="S14" i="90"/>
  <c r="AH19" i="90"/>
  <c r="AH16" i="90" s="1"/>
  <c r="AF25" i="90"/>
  <c r="S16" i="90"/>
  <c r="N19" i="90"/>
  <c r="AG20" i="90"/>
  <c r="AG19" i="90" s="1"/>
  <c r="AG16" i="90" s="1"/>
  <c r="N19" i="89"/>
  <c r="AG20" i="89"/>
  <c r="AG19" i="89" s="1"/>
  <c r="AG16" i="89" s="1"/>
  <c r="S14" i="89"/>
  <c r="E14" i="89"/>
  <c r="AH19" i="89"/>
  <c r="AH16" i="89" s="1"/>
  <c r="S25" i="89"/>
  <c r="AG25" i="89" s="1"/>
  <c r="T25" i="89"/>
  <c r="AE19" i="68"/>
  <c r="AD19" i="68"/>
  <c r="AC19" i="68"/>
  <c r="AB19" i="68"/>
  <c r="AA19" i="68"/>
  <c r="Z19" i="68"/>
  <c r="Y19" i="68"/>
  <c r="X19" i="68"/>
  <c r="W19" i="68"/>
  <c r="V19" i="68"/>
  <c r="M19" i="68"/>
  <c r="H19" i="68"/>
  <c r="H16" i="68" s="1"/>
  <c r="G19" i="68"/>
  <c r="G16" i="68" s="1"/>
  <c r="D19" i="68"/>
  <c r="M16" i="68"/>
  <c r="N15" i="68"/>
  <c r="S13" i="68"/>
  <c r="V8" i="68"/>
  <c r="M8" i="68"/>
  <c r="N7" i="68"/>
  <c r="N5" i="68"/>
  <c r="G128" i="67"/>
  <c r="H128" i="67" s="1"/>
  <c r="I128" i="67" s="1"/>
  <c r="F128" i="67"/>
  <c r="E128" i="67"/>
  <c r="D128" i="67"/>
  <c r="C128" i="67"/>
  <c r="B128" i="67"/>
  <c r="G127" i="67"/>
  <c r="F127" i="67"/>
  <c r="E127" i="67"/>
  <c r="D127" i="67"/>
  <c r="C127" i="67"/>
  <c r="B127" i="67"/>
  <c r="G126" i="67"/>
  <c r="F126" i="67"/>
  <c r="E126" i="67"/>
  <c r="D126" i="67"/>
  <c r="C126" i="67"/>
  <c r="B126" i="67"/>
  <c r="G125" i="67"/>
  <c r="F125" i="67"/>
  <c r="E125" i="67"/>
  <c r="D125" i="67"/>
  <c r="C125" i="67"/>
  <c r="B125" i="67"/>
  <c r="G124" i="67"/>
  <c r="H124" i="67" s="1"/>
  <c r="I124" i="67" s="1"/>
  <c r="F124" i="67"/>
  <c r="E124" i="67"/>
  <c r="D124" i="67"/>
  <c r="C124" i="67"/>
  <c r="B124" i="67"/>
  <c r="G123" i="67"/>
  <c r="F123" i="67"/>
  <c r="E123" i="67"/>
  <c r="D123" i="67"/>
  <c r="C123" i="67"/>
  <c r="B123" i="67"/>
  <c r="G121" i="67"/>
  <c r="H121" i="67" s="1"/>
  <c r="I121" i="67" s="1"/>
  <c r="F121" i="67"/>
  <c r="E121" i="67"/>
  <c r="D121" i="67"/>
  <c r="C121" i="67"/>
  <c r="B121" i="67"/>
  <c r="G120" i="67"/>
  <c r="F120" i="67"/>
  <c r="E120" i="67"/>
  <c r="D120" i="67"/>
  <c r="C120" i="67"/>
  <c r="B120" i="67"/>
  <c r="G119" i="67"/>
  <c r="H119" i="67" s="1"/>
  <c r="I119" i="67" s="1"/>
  <c r="F119" i="67"/>
  <c r="E119" i="67"/>
  <c r="D119" i="67"/>
  <c r="C119" i="67"/>
  <c r="B119" i="67"/>
  <c r="G118" i="67"/>
  <c r="F118" i="67"/>
  <c r="E118" i="67"/>
  <c r="D118" i="67"/>
  <c r="C118" i="67"/>
  <c r="B118" i="67"/>
  <c r="G117" i="67"/>
  <c r="H117" i="67" s="1"/>
  <c r="F117" i="67"/>
  <c r="E117" i="67"/>
  <c r="D117" i="67"/>
  <c r="C117" i="67"/>
  <c r="B117" i="67"/>
  <c r="G116" i="67"/>
  <c r="F116" i="67"/>
  <c r="E116" i="67"/>
  <c r="D116" i="67"/>
  <c r="C116" i="67"/>
  <c r="B116" i="67"/>
  <c r="G114" i="67"/>
  <c r="H114" i="67" s="1"/>
  <c r="I114" i="67" s="1"/>
  <c r="F114" i="67"/>
  <c r="E114" i="67"/>
  <c r="D114" i="67"/>
  <c r="C114" i="67"/>
  <c r="B114" i="67"/>
  <c r="G113" i="67"/>
  <c r="F113" i="67"/>
  <c r="E113" i="67"/>
  <c r="D113" i="67"/>
  <c r="C113" i="67"/>
  <c r="B113" i="67"/>
  <c r="G112" i="67"/>
  <c r="F112" i="67"/>
  <c r="E112" i="67"/>
  <c r="D112" i="67"/>
  <c r="C112" i="67"/>
  <c r="B112" i="67"/>
  <c r="G111" i="67"/>
  <c r="F111" i="67"/>
  <c r="E111" i="67"/>
  <c r="D111" i="67"/>
  <c r="C111" i="67"/>
  <c r="B111" i="67"/>
  <c r="G110" i="67"/>
  <c r="H110" i="67" s="1"/>
  <c r="I110" i="67" s="1"/>
  <c r="F110" i="67"/>
  <c r="E110" i="67"/>
  <c r="D110" i="67"/>
  <c r="C110" i="67"/>
  <c r="B110" i="67"/>
  <c r="G109" i="67"/>
  <c r="F109" i="67"/>
  <c r="E109" i="67"/>
  <c r="D109" i="67"/>
  <c r="C109" i="67"/>
  <c r="B109" i="67"/>
  <c r="G107" i="67"/>
  <c r="F107" i="67"/>
  <c r="E107" i="67"/>
  <c r="D107" i="67"/>
  <c r="C107" i="67"/>
  <c r="B107" i="67"/>
  <c r="G105" i="67"/>
  <c r="H105" i="67" s="1"/>
  <c r="I105" i="67" s="1"/>
  <c r="T10" i="70" s="1"/>
  <c r="F105" i="67"/>
  <c r="E105" i="67"/>
  <c r="D105" i="67"/>
  <c r="C105" i="67"/>
  <c r="B105" i="67"/>
  <c r="G104" i="67"/>
  <c r="F104" i="67"/>
  <c r="E104" i="67"/>
  <c r="D104" i="67"/>
  <c r="C104" i="67"/>
  <c r="B104" i="67"/>
  <c r="G101" i="67"/>
  <c r="G102" i="67" s="1"/>
  <c r="F101" i="67"/>
  <c r="F102" i="67" s="1"/>
  <c r="E101" i="67"/>
  <c r="D101" i="67"/>
  <c r="D102" i="67" s="1"/>
  <c r="C101" i="67"/>
  <c r="C102" i="67" s="1"/>
  <c r="B101" i="67"/>
  <c r="G98" i="67"/>
  <c r="F98" i="67"/>
  <c r="E98" i="67"/>
  <c r="D98" i="67"/>
  <c r="C98" i="67"/>
  <c r="B98" i="67"/>
  <c r="G95" i="67"/>
  <c r="F95" i="67"/>
  <c r="E95" i="67"/>
  <c r="D95" i="67"/>
  <c r="C95" i="67"/>
  <c r="B95" i="67"/>
  <c r="G94" i="67"/>
  <c r="F94" i="67"/>
  <c r="E94" i="67"/>
  <c r="D94" i="67"/>
  <c r="C94" i="67"/>
  <c r="B94" i="67"/>
  <c r="G90" i="67"/>
  <c r="H90" i="67" s="1"/>
  <c r="I90" i="67" s="1"/>
  <c r="F90" i="67"/>
  <c r="E90" i="67"/>
  <c r="D90" i="67"/>
  <c r="C90" i="67"/>
  <c r="B90" i="67"/>
  <c r="G88" i="67"/>
  <c r="F88" i="67"/>
  <c r="E88" i="67"/>
  <c r="D88" i="67"/>
  <c r="C88" i="67"/>
  <c r="B88" i="67"/>
  <c r="G86" i="67"/>
  <c r="H86" i="67" s="1"/>
  <c r="F86" i="67"/>
  <c r="E86" i="67"/>
  <c r="D86" i="67"/>
  <c r="C86" i="67"/>
  <c r="B86" i="67"/>
  <c r="G85" i="67"/>
  <c r="F85" i="67"/>
  <c r="E85" i="67"/>
  <c r="D85" i="67"/>
  <c r="C85" i="67"/>
  <c r="B85" i="67"/>
  <c r="G83" i="67"/>
  <c r="F83" i="67"/>
  <c r="E83" i="67"/>
  <c r="D83" i="67"/>
  <c r="C83" i="67"/>
  <c r="B83" i="67"/>
  <c r="G82" i="67"/>
  <c r="F82" i="67"/>
  <c r="E82" i="67"/>
  <c r="D82" i="67"/>
  <c r="C82" i="67"/>
  <c r="B82" i="67"/>
  <c r="G81" i="67"/>
  <c r="H81" i="67" s="1"/>
  <c r="I81" i="67" s="1"/>
  <c r="F81" i="67"/>
  <c r="E81" i="67"/>
  <c r="D81" i="67"/>
  <c r="C81" i="67"/>
  <c r="B81" i="67"/>
  <c r="G80" i="67"/>
  <c r="F80" i="67"/>
  <c r="E80" i="67"/>
  <c r="D80" i="67"/>
  <c r="C80" i="67"/>
  <c r="B80" i="67"/>
  <c r="G79" i="67"/>
  <c r="F79" i="67"/>
  <c r="E79" i="67"/>
  <c r="D79" i="67"/>
  <c r="C79" i="67"/>
  <c r="B79" i="67"/>
  <c r="G78" i="67"/>
  <c r="F78" i="67"/>
  <c r="E78" i="67"/>
  <c r="D78" i="67"/>
  <c r="C78" i="67"/>
  <c r="B78" i="67"/>
  <c r="G77" i="67"/>
  <c r="F77" i="67"/>
  <c r="E77" i="67"/>
  <c r="D77" i="67"/>
  <c r="C77" i="67"/>
  <c r="B77" i="67"/>
  <c r="G73" i="67"/>
  <c r="F73" i="67"/>
  <c r="E73" i="67"/>
  <c r="D73" i="67"/>
  <c r="C73" i="67"/>
  <c r="B73" i="67"/>
  <c r="G72" i="67"/>
  <c r="H72" i="67" s="1"/>
  <c r="I72" i="67" s="1"/>
  <c r="F72" i="67"/>
  <c r="E72" i="67"/>
  <c r="D72" i="67"/>
  <c r="C72" i="67"/>
  <c r="B72" i="67"/>
  <c r="G70" i="67"/>
  <c r="F70" i="67"/>
  <c r="E70" i="67"/>
  <c r="D70" i="67"/>
  <c r="C70" i="67"/>
  <c r="B70" i="67"/>
  <c r="G69" i="67"/>
  <c r="F69" i="67"/>
  <c r="E69" i="67"/>
  <c r="D69" i="67"/>
  <c r="C69" i="67"/>
  <c r="B69" i="67"/>
  <c r="G68" i="67"/>
  <c r="F68" i="67"/>
  <c r="E68" i="67"/>
  <c r="D68" i="67"/>
  <c r="C68" i="67"/>
  <c r="B68" i="67"/>
  <c r="G67" i="67"/>
  <c r="F67" i="67"/>
  <c r="E67" i="67"/>
  <c r="D67" i="67"/>
  <c r="C67" i="67"/>
  <c r="B67" i="67"/>
  <c r="G66" i="67"/>
  <c r="F66" i="67"/>
  <c r="E66" i="67"/>
  <c r="D66" i="67"/>
  <c r="C66" i="67"/>
  <c r="B66" i="67"/>
  <c r="G65" i="67"/>
  <c r="H65" i="67" s="1"/>
  <c r="I65" i="67" s="1"/>
  <c r="F65" i="67"/>
  <c r="E65" i="67"/>
  <c r="D65" i="67"/>
  <c r="C65" i="67"/>
  <c r="B65" i="67"/>
  <c r="G64" i="67"/>
  <c r="F64" i="67"/>
  <c r="E64" i="67"/>
  <c r="D64" i="67"/>
  <c r="C64" i="67"/>
  <c r="B64" i="67"/>
  <c r="G62" i="67"/>
  <c r="F62" i="67"/>
  <c r="E62" i="67"/>
  <c r="D62" i="67"/>
  <c r="C62" i="67"/>
  <c r="B62" i="67"/>
  <c r="G61" i="67"/>
  <c r="F61" i="67"/>
  <c r="E61" i="67"/>
  <c r="D61" i="67"/>
  <c r="C61" i="67"/>
  <c r="B61" i="67"/>
  <c r="G60" i="67"/>
  <c r="H60" i="67" s="1"/>
  <c r="I60" i="67" s="1"/>
  <c r="F60" i="67"/>
  <c r="E60" i="67"/>
  <c r="D60" i="67"/>
  <c r="C60" i="67"/>
  <c r="B60" i="67"/>
  <c r="G59" i="67"/>
  <c r="F59" i="67"/>
  <c r="E59" i="67"/>
  <c r="D59" i="67"/>
  <c r="C59" i="67"/>
  <c r="B59" i="67"/>
  <c r="G58" i="67"/>
  <c r="F58" i="67"/>
  <c r="E58" i="67"/>
  <c r="D58" i="67"/>
  <c r="C58" i="67"/>
  <c r="B58" i="67"/>
  <c r="G57" i="67"/>
  <c r="F57" i="67"/>
  <c r="E57" i="67"/>
  <c r="D57" i="67"/>
  <c r="C57" i="67"/>
  <c r="B57" i="67"/>
  <c r="G56" i="67"/>
  <c r="H56" i="67" s="1"/>
  <c r="F56" i="67"/>
  <c r="E56" i="67"/>
  <c r="D56" i="67"/>
  <c r="C56" i="67"/>
  <c r="B56" i="67"/>
  <c r="G54" i="67"/>
  <c r="F54" i="67"/>
  <c r="E54" i="67"/>
  <c r="D54" i="67"/>
  <c r="C54" i="67"/>
  <c r="B54" i="67"/>
  <c r="G53" i="67"/>
  <c r="F53" i="67"/>
  <c r="E53" i="67"/>
  <c r="D53" i="67"/>
  <c r="C53" i="67"/>
  <c r="B53" i="67"/>
  <c r="G52" i="67"/>
  <c r="F52" i="67"/>
  <c r="E52" i="67"/>
  <c r="D52" i="67"/>
  <c r="C52" i="67"/>
  <c r="B52" i="67"/>
  <c r="G51" i="67"/>
  <c r="H51" i="67" s="1"/>
  <c r="I51" i="67" s="1"/>
  <c r="F51" i="67"/>
  <c r="E51" i="67"/>
  <c r="D51" i="67"/>
  <c r="C51" i="67"/>
  <c r="B51" i="67"/>
  <c r="G50" i="67"/>
  <c r="H50" i="67" s="1"/>
  <c r="I50" i="67" s="1"/>
  <c r="F50" i="67"/>
  <c r="E50" i="67"/>
  <c r="D50" i="67"/>
  <c r="C50" i="67"/>
  <c r="B50" i="67"/>
  <c r="G49" i="67"/>
  <c r="F49" i="67"/>
  <c r="E49" i="67"/>
  <c r="D49" i="67"/>
  <c r="C49" i="67"/>
  <c r="B49" i="67"/>
  <c r="G48" i="67"/>
  <c r="F48" i="67"/>
  <c r="E48" i="67"/>
  <c r="D48" i="67"/>
  <c r="C48" i="67"/>
  <c r="B48" i="67"/>
  <c r="G46" i="67"/>
  <c r="H46" i="67" s="1"/>
  <c r="I46" i="67" s="1"/>
  <c r="F46" i="67"/>
  <c r="E46" i="67"/>
  <c r="D46" i="67"/>
  <c r="C46" i="67"/>
  <c r="B46" i="67"/>
  <c r="G45" i="67"/>
  <c r="F45" i="67"/>
  <c r="E45" i="67"/>
  <c r="D45" i="67"/>
  <c r="C45" i="67"/>
  <c r="B45" i="67"/>
  <c r="G44" i="67"/>
  <c r="H44" i="67" s="1"/>
  <c r="F44" i="67"/>
  <c r="E44" i="67"/>
  <c r="D44" i="67"/>
  <c r="C44" i="67"/>
  <c r="B44" i="67"/>
  <c r="G43" i="67"/>
  <c r="F43" i="67"/>
  <c r="E43" i="67"/>
  <c r="D43" i="67"/>
  <c r="C43" i="67"/>
  <c r="B43" i="67"/>
  <c r="G42" i="67"/>
  <c r="H42" i="67" s="1"/>
  <c r="I42" i="67" s="1"/>
  <c r="F42" i="67"/>
  <c r="E42" i="67"/>
  <c r="D42" i="67"/>
  <c r="C42" i="67"/>
  <c r="B42" i="67"/>
  <c r="G41" i="67"/>
  <c r="F41" i="67"/>
  <c r="E41" i="67"/>
  <c r="D41" i="67"/>
  <c r="C41" i="67"/>
  <c r="B41" i="67"/>
  <c r="G40" i="67"/>
  <c r="F40" i="67"/>
  <c r="E40" i="67"/>
  <c r="D40" i="67"/>
  <c r="C40" i="67"/>
  <c r="B40" i="67"/>
  <c r="G38" i="67"/>
  <c r="F38" i="67"/>
  <c r="E38" i="67"/>
  <c r="D38" i="67"/>
  <c r="C38" i="67"/>
  <c r="B38" i="67"/>
  <c r="G37" i="67"/>
  <c r="F37" i="67"/>
  <c r="E37" i="67"/>
  <c r="D37" i="67"/>
  <c r="C37" i="67"/>
  <c r="B37" i="67"/>
  <c r="G36" i="67"/>
  <c r="H36" i="67" s="1"/>
  <c r="I36" i="67" s="1"/>
  <c r="F36" i="67"/>
  <c r="E36" i="67"/>
  <c r="D36" i="67"/>
  <c r="C36" i="67"/>
  <c r="B36" i="67"/>
  <c r="G35" i="67"/>
  <c r="F35" i="67"/>
  <c r="E35" i="67"/>
  <c r="D35" i="67"/>
  <c r="C35" i="67"/>
  <c r="B35" i="67"/>
  <c r="G34" i="67"/>
  <c r="F34" i="67"/>
  <c r="E34" i="67"/>
  <c r="D34" i="67"/>
  <c r="C34" i="67"/>
  <c r="B34" i="67"/>
  <c r="G33" i="67"/>
  <c r="H33" i="67" s="1"/>
  <c r="I33" i="67" s="1"/>
  <c r="F33" i="67"/>
  <c r="E33" i="67"/>
  <c r="D33" i="67"/>
  <c r="C33" i="67"/>
  <c r="B33" i="67"/>
  <c r="G32" i="67"/>
  <c r="H32" i="67" s="1"/>
  <c r="F32" i="67"/>
  <c r="E32" i="67"/>
  <c r="D32" i="67"/>
  <c r="C32" i="67"/>
  <c r="B32" i="67"/>
  <c r="G30" i="67"/>
  <c r="F30" i="67"/>
  <c r="E30" i="67"/>
  <c r="D30" i="67"/>
  <c r="C30" i="67"/>
  <c r="B30" i="67"/>
  <c r="G29" i="67"/>
  <c r="H29" i="67" s="1"/>
  <c r="I29" i="67" s="1"/>
  <c r="F29" i="67"/>
  <c r="E29" i="67"/>
  <c r="D29" i="67"/>
  <c r="C29" i="67"/>
  <c r="B29" i="67"/>
  <c r="G28" i="67"/>
  <c r="H28" i="67" s="1"/>
  <c r="I28" i="67" s="1"/>
  <c r="F28" i="67"/>
  <c r="E28" i="67"/>
  <c r="D28" i="67"/>
  <c r="C28" i="67"/>
  <c r="B28" i="67"/>
  <c r="G27" i="67"/>
  <c r="F27" i="67"/>
  <c r="E27" i="67"/>
  <c r="D27" i="67"/>
  <c r="C27" i="67"/>
  <c r="B27" i="67"/>
  <c r="G26" i="67"/>
  <c r="F26" i="67"/>
  <c r="E26" i="67"/>
  <c r="D26" i="67"/>
  <c r="C26" i="67"/>
  <c r="B26" i="67"/>
  <c r="G25" i="67"/>
  <c r="F25" i="67"/>
  <c r="E25" i="67"/>
  <c r="D25" i="67"/>
  <c r="C25" i="67"/>
  <c r="B25" i="67"/>
  <c r="G24" i="67"/>
  <c r="H24" i="67" s="1"/>
  <c r="F24" i="67"/>
  <c r="E24" i="67"/>
  <c r="D24" i="67"/>
  <c r="C24" i="67"/>
  <c r="B24" i="67"/>
  <c r="G22" i="67"/>
  <c r="H22" i="67" s="1"/>
  <c r="I22" i="67" s="1"/>
  <c r="F22" i="67"/>
  <c r="E22" i="67"/>
  <c r="D22" i="67"/>
  <c r="C22" i="67"/>
  <c r="B22" i="67"/>
  <c r="G21" i="67"/>
  <c r="F21" i="67"/>
  <c r="E21" i="67"/>
  <c r="D21" i="67"/>
  <c r="C21" i="67"/>
  <c r="B21" i="67"/>
  <c r="G20" i="67"/>
  <c r="F20" i="67"/>
  <c r="E20" i="67"/>
  <c r="D20" i="67"/>
  <c r="C20" i="67"/>
  <c r="B20" i="67"/>
  <c r="G19" i="67"/>
  <c r="H19" i="67" s="1"/>
  <c r="I19" i="67" s="1"/>
  <c r="F19" i="67"/>
  <c r="E19" i="67"/>
  <c r="D19" i="67"/>
  <c r="C19" i="67"/>
  <c r="B19" i="67"/>
  <c r="G18" i="67"/>
  <c r="H18" i="67" s="1"/>
  <c r="F18" i="67"/>
  <c r="E18" i="67"/>
  <c r="D18" i="67"/>
  <c r="C18" i="67"/>
  <c r="B18" i="67"/>
  <c r="G17" i="67"/>
  <c r="H17" i="67" s="1"/>
  <c r="I17" i="67" s="1"/>
  <c r="F17" i="67"/>
  <c r="E17" i="67"/>
  <c r="D17" i="67"/>
  <c r="C17" i="67"/>
  <c r="B17" i="67"/>
  <c r="G16" i="67"/>
  <c r="F16" i="67"/>
  <c r="E16" i="67"/>
  <c r="D16" i="67"/>
  <c r="C16" i="67"/>
  <c r="B16" i="67"/>
  <c r="G15" i="67"/>
  <c r="H15" i="67" s="1"/>
  <c r="F15" i="67"/>
  <c r="E15" i="67"/>
  <c r="D15" i="67"/>
  <c r="C15" i="67"/>
  <c r="B15" i="67"/>
  <c r="C7" i="67"/>
  <c r="G5" i="67"/>
  <c r="G11" i="67" s="1"/>
  <c r="F5" i="67"/>
  <c r="E5" i="67"/>
  <c r="D5" i="67"/>
  <c r="C5" i="67"/>
  <c r="B5" i="67"/>
  <c r="G1" i="67"/>
  <c r="F1" i="67"/>
  <c r="E1" i="67"/>
  <c r="D1" i="67"/>
  <c r="C1" i="67"/>
  <c r="B1" i="67"/>
  <c r="H132" i="67"/>
  <c r="I132" i="67" s="1"/>
  <c r="H131" i="67"/>
  <c r="I131" i="67" s="1"/>
  <c r="I130" i="67" s="1"/>
  <c r="H127" i="67"/>
  <c r="I127" i="67" s="1"/>
  <c r="H125" i="67"/>
  <c r="I125" i="67" s="1"/>
  <c r="H123" i="67"/>
  <c r="I123" i="67" s="1"/>
  <c r="H120" i="67"/>
  <c r="I120" i="67" s="1"/>
  <c r="H118" i="67"/>
  <c r="I118" i="67" s="1"/>
  <c r="H113" i="67"/>
  <c r="I113" i="67" s="1"/>
  <c r="H112" i="67"/>
  <c r="I112" i="67" s="1"/>
  <c r="H111" i="67"/>
  <c r="I111" i="67" s="1"/>
  <c r="H107" i="67"/>
  <c r="I107" i="67" s="1"/>
  <c r="T12" i="70" s="1"/>
  <c r="H106" i="67"/>
  <c r="I106" i="67" s="1"/>
  <c r="T11" i="70" s="1"/>
  <c r="H104" i="67"/>
  <c r="I104" i="67" s="1"/>
  <c r="T9" i="70" s="1"/>
  <c r="E102" i="67"/>
  <c r="H101" i="67"/>
  <c r="H102" i="67" s="1"/>
  <c r="B102" i="67"/>
  <c r="H98" i="67"/>
  <c r="I98" i="67" s="1"/>
  <c r="F99" i="67"/>
  <c r="E99" i="67"/>
  <c r="D99" i="67"/>
  <c r="C99" i="67"/>
  <c r="B99" i="67"/>
  <c r="H95" i="67"/>
  <c r="I95" i="67" s="1"/>
  <c r="H94" i="67"/>
  <c r="I94" i="67" s="1"/>
  <c r="C96" i="67"/>
  <c r="H92" i="67"/>
  <c r="I92" i="67" s="1"/>
  <c r="H88" i="67"/>
  <c r="I88" i="67" s="1"/>
  <c r="H83" i="67"/>
  <c r="I83" i="67" s="1"/>
  <c r="H82" i="67"/>
  <c r="I82" i="67" s="1"/>
  <c r="H80" i="67"/>
  <c r="I80" i="67" s="1"/>
  <c r="H79" i="67"/>
  <c r="I79" i="67" s="1"/>
  <c r="H78" i="67"/>
  <c r="I78" i="67" s="1"/>
  <c r="H76" i="67"/>
  <c r="I76" i="67" s="1"/>
  <c r="H73" i="67"/>
  <c r="I73" i="67" s="1"/>
  <c r="H70" i="67"/>
  <c r="I70" i="67" s="1"/>
  <c r="H68" i="67"/>
  <c r="I68" i="67" s="1"/>
  <c r="H67" i="67"/>
  <c r="I67" i="67" s="1"/>
  <c r="H66" i="67"/>
  <c r="I66" i="67" s="1"/>
  <c r="H64" i="67"/>
  <c r="H62" i="67"/>
  <c r="I62" i="67" s="1"/>
  <c r="H59" i="67"/>
  <c r="I59" i="67" s="1"/>
  <c r="H58" i="67"/>
  <c r="I58" i="67" s="1"/>
  <c r="H57" i="67"/>
  <c r="I57" i="67" s="1"/>
  <c r="H54" i="67"/>
  <c r="I54" i="67" s="1"/>
  <c r="H52" i="67"/>
  <c r="I52" i="67" s="1"/>
  <c r="H49" i="67"/>
  <c r="I49" i="67" s="1"/>
  <c r="H48" i="67"/>
  <c r="H43" i="67"/>
  <c r="I43" i="67" s="1"/>
  <c r="H41" i="67"/>
  <c r="I41" i="67" s="1"/>
  <c r="H40" i="67"/>
  <c r="H38" i="67"/>
  <c r="I38" i="67" s="1"/>
  <c r="H35" i="67"/>
  <c r="I35" i="67" s="1"/>
  <c r="H34" i="67"/>
  <c r="I34" i="67" s="1"/>
  <c r="H30" i="67"/>
  <c r="I30" i="67" s="1"/>
  <c r="H27" i="67"/>
  <c r="I27" i="67" s="1"/>
  <c r="H26" i="67"/>
  <c r="I26" i="67" s="1"/>
  <c r="H20" i="67"/>
  <c r="I20" i="67" s="1"/>
  <c r="I18" i="67"/>
  <c r="H16" i="67"/>
  <c r="I16" i="67" s="1"/>
  <c r="L32" i="66"/>
  <c r="K32" i="66"/>
  <c r="J32" i="66"/>
  <c r="I32" i="66"/>
  <c r="H32" i="66"/>
  <c r="G32" i="66"/>
  <c r="F32" i="66"/>
  <c r="E32" i="66"/>
  <c r="D32" i="66"/>
  <c r="C32" i="66"/>
  <c r="B32" i="66"/>
  <c r="L32" i="65"/>
  <c r="K32" i="65"/>
  <c r="J32" i="65"/>
  <c r="I32" i="65"/>
  <c r="H32" i="65"/>
  <c r="G32" i="65"/>
  <c r="F32" i="65"/>
  <c r="E32" i="65"/>
  <c r="D32" i="65"/>
  <c r="C32" i="65"/>
  <c r="B32" i="65"/>
  <c r="L32" i="64"/>
  <c r="K32" i="64"/>
  <c r="J32" i="64"/>
  <c r="I32" i="64"/>
  <c r="H32" i="64"/>
  <c r="G32" i="64"/>
  <c r="F32" i="64"/>
  <c r="E32" i="64"/>
  <c r="D32" i="64"/>
  <c r="C32" i="64"/>
  <c r="B32" i="64"/>
  <c r="L32" i="63"/>
  <c r="K32" i="63"/>
  <c r="J32" i="63"/>
  <c r="I32" i="63"/>
  <c r="H32" i="63"/>
  <c r="G32" i="63"/>
  <c r="F32" i="63"/>
  <c r="E32" i="63"/>
  <c r="D32" i="63"/>
  <c r="C32" i="63"/>
  <c r="B32" i="63"/>
  <c r="L32" i="62"/>
  <c r="K32" i="62"/>
  <c r="J32" i="62"/>
  <c r="I32" i="62"/>
  <c r="H32" i="62"/>
  <c r="G32" i="62"/>
  <c r="F32" i="62"/>
  <c r="E32" i="62"/>
  <c r="D32" i="62"/>
  <c r="C32" i="62"/>
  <c r="B32" i="62"/>
  <c r="G128" i="59"/>
  <c r="F128" i="59"/>
  <c r="E128" i="59"/>
  <c r="D128" i="59"/>
  <c r="C128" i="59"/>
  <c r="B128" i="59"/>
  <c r="G127" i="59"/>
  <c r="H127" i="59" s="1"/>
  <c r="I127" i="59" s="1"/>
  <c r="F127" i="59"/>
  <c r="E127" i="59"/>
  <c r="D127" i="59"/>
  <c r="C127" i="59"/>
  <c r="B127" i="59"/>
  <c r="G126" i="59"/>
  <c r="F126" i="59"/>
  <c r="E126" i="59"/>
  <c r="D126" i="59"/>
  <c r="C126" i="59"/>
  <c r="B126" i="59"/>
  <c r="G125" i="59"/>
  <c r="H125" i="59" s="1"/>
  <c r="I125" i="59" s="1"/>
  <c r="F125" i="59"/>
  <c r="E125" i="59"/>
  <c r="D125" i="59"/>
  <c r="C125" i="59"/>
  <c r="B125" i="59"/>
  <c r="G124" i="59"/>
  <c r="F124" i="59"/>
  <c r="E124" i="59"/>
  <c r="D124" i="59"/>
  <c r="C124" i="59"/>
  <c r="B124" i="59"/>
  <c r="G123" i="59"/>
  <c r="H123" i="59" s="1"/>
  <c r="F123" i="59"/>
  <c r="E123" i="59"/>
  <c r="D123" i="59"/>
  <c r="C123" i="59"/>
  <c r="B123" i="59"/>
  <c r="G121" i="59"/>
  <c r="F121" i="59"/>
  <c r="E121" i="59"/>
  <c r="D121" i="59"/>
  <c r="C121" i="59"/>
  <c r="B121" i="59"/>
  <c r="G120" i="59"/>
  <c r="H120" i="59" s="1"/>
  <c r="I120" i="59" s="1"/>
  <c r="F120" i="59"/>
  <c r="E120" i="59"/>
  <c r="D120" i="59"/>
  <c r="C120" i="59"/>
  <c r="B120" i="59"/>
  <c r="G119" i="59"/>
  <c r="F119" i="59"/>
  <c r="E119" i="59"/>
  <c r="D119" i="59"/>
  <c r="C119" i="59"/>
  <c r="B119" i="59"/>
  <c r="G118" i="59"/>
  <c r="H118" i="59" s="1"/>
  <c r="I118" i="59" s="1"/>
  <c r="F118" i="59"/>
  <c r="E118" i="59"/>
  <c r="D118" i="59"/>
  <c r="C118" i="59"/>
  <c r="B118" i="59"/>
  <c r="G117" i="59"/>
  <c r="F117" i="59"/>
  <c r="E117" i="59"/>
  <c r="D117" i="59"/>
  <c r="C117" i="59"/>
  <c r="B117" i="59"/>
  <c r="G116" i="59"/>
  <c r="F116" i="59"/>
  <c r="E116" i="59"/>
  <c r="D116" i="59"/>
  <c r="C116" i="59"/>
  <c r="B116" i="59"/>
  <c r="G114" i="59"/>
  <c r="F114" i="59"/>
  <c r="E114" i="59"/>
  <c r="D114" i="59"/>
  <c r="C114" i="59"/>
  <c r="B114" i="59"/>
  <c r="G113" i="59"/>
  <c r="H113" i="59" s="1"/>
  <c r="I113" i="59" s="1"/>
  <c r="F113" i="59"/>
  <c r="E113" i="59"/>
  <c r="D113" i="59"/>
  <c r="C113" i="59"/>
  <c r="B113" i="59"/>
  <c r="G112" i="59"/>
  <c r="F112" i="59"/>
  <c r="E112" i="59"/>
  <c r="D112" i="59"/>
  <c r="C112" i="59"/>
  <c r="B112" i="59"/>
  <c r="G111" i="59"/>
  <c r="H111" i="59" s="1"/>
  <c r="I111" i="59" s="1"/>
  <c r="F111" i="59"/>
  <c r="E111" i="59"/>
  <c r="D111" i="59"/>
  <c r="C111" i="59"/>
  <c r="B111" i="59"/>
  <c r="G110" i="59"/>
  <c r="F110" i="59"/>
  <c r="E110" i="59"/>
  <c r="D110" i="59"/>
  <c r="C110" i="59"/>
  <c r="B110" i="59"/>
  <c r="G109" i="59"/>
  <c r="F109" i="59"/>
  <c r="E109" i="59"/>
  <c r="D109" i="59"/>
  <c r="C109" i="59"/>
  <c r="B109" i="59"/>
  <c r="G107" i="59"/>
  <c r="F107" i="59"/>
  <c r="E107" i="59"/>
  <c r="D107" i="59"/>
  <c r="C107" i="59"/>
  <c r="B107" i="59"/>
  <c r="G105" i="59"/>
  <c r="F105" i="59"/>
  <c r="E105" i="59"/>
  <c r="D105" i="59"/>
  <c r="C105" i="59"/>
  <c r="B105" i="59"/>
  <c r="G104" i="59"/>
  <c r="H104" i="59" s="1"/>
  <c r="F104" i="59"/>
  <c r="E104" i="59"/>
  <c r="D104" i="59"/>
  <c r="C104" i="59"/>
  <c r="B104" i="59"/>
  <c r="G101" i="59"/>
  <c r="F101" i="59"/>
  <c r="F102" i="59" s="1"/>
  <c r="E101" i="59"/>
  <c r="E102" i="59" s="1"/>
  <c r="D101" i="59"/>
  <c r="D102" i="59" s="1"/>
  <c r="C101" i="59"/>
  <c r="B101" i="59"/>
  <c r="B102" i="59" s="1"/>
  <c r="G98" i="59"/>
  <c r="H98" i="59" s="1"/>
  <c r="I98" i="59" s="1"/>
  <c r="F98" i="59"/>
  <c r="F99" i="59" s="1"/>
  <c r="E98" i="59"/>
  <c r="D98" i="59"/>
  <c r="D99" i="59" s="1"/>
  <c r="C98" i="59"/>
  <c r="C99" i="59" s="1"/>
  <c r="B98" i="59"/>
  <c r="B99" i="59" s="1"/>
  <c r="G95" i="59"/>
  <c r="F95" i="59"/>
  <c r="E95" i="59"/>
  <c r="E96" i="59" s="1"/>
  <c r="D95" i="59"/>
  <c r="C95" i="59"/>
  <c r="B95" i="59"/>
  <c r="G94" i="59"/>
  <c r="H94" i="59" s="1"/>
  <c r="I94" i="59" s="1"/>
  <c r="F94" i="59"/>
  <c r="E94" i="59"/>
  <c r="D94" i="59"/>
  <c r="C94" i="59"/>
  <c r="C96" i="59" s="1"/>
  <c r="B94" i="59"/>
  <c r="G90" i="59"/>
  <c r="F90" i="59"/>
  <c r="E90" i="59"/>
  <c r="D90" i="59"/>
  <c r="C90" i="59"/>
  <c r="B90" i="59"/>
  <c r="G88" i="59"/>
  <c r="H88" i="59" s="1"/>
  <c r="I88" i="59" s="1"/>
  <c r="F88" i="59"/>
  <c r="E88" i="59"/>
  <c r="D88" i="59"/>
  <c r="C88" i="59"/>
  <c r="B88" i="59"/>
  <c r="G86" i="59"/>
  <c r="F86" i="59"/>
  <c r="E86" i="59"/>
  <c r="D86" i="59"/>
  <c r="C86" i="59"/>
  <c r="B86" i="59"/>
  <c r="G85" i="59"/>
  <c r="F85" i="59"/>
  <c r="E85" i="59"/>
  <c r="D85" i="59"/>
  <c r="C85" i="59"/>
  <c r="B85" i="59"/>
  <c r="G83" i="59"/>
  <c r="F83" i="59"/>
  <c r="E83" i="59"/>
  <c r="D83" i="59"/>
  <c r="C83" i="59"/>
  <c r="B83" i="59"/>
  <c r="G82" i="59"/>
  <c r="H82" i="59" s="1"/>
  <c r="I82" i="59" s="1"/>
  <c r="F82" i="59"/>
  <c r="E82" i="59"/>
  <c r="D82" i="59"/>
  <c r="C82" i="59"/>
  <c r="B82" i="59"/>
  <c r="G81" i="59"/>
  <c r="F81" i="59"/>
  <c r="E81" i="59"/>
  <c r="D81" i="59"/>
  <c r="C81" i="59"/>
  <c r="B81" i="59"/>
  <c r="G80" i="59"/>
  <c r="H80" i="59" s="1"/>
  <c r="I80" i="59" s="1"/>
  <c r="F80" i="59"/>
  <c r="E80" i="59"/>
  <c r="D80" i="59"/>
  <c r="C80" i="59"/>
  <c r="B80" i="59"/>
  <c r="G79" i="59"/>
  <c r="F79" i="59"/>
  <c r="E79" i="59"/>
  <c r="D79" i="59"/>
  <c r="C79" i="59"/>
  <c r="B79" i="59"/>
  <c r="G78" i="59"/>
  <c r="F78" i="59"/>
  <c r="E78" i="59"/>
  <c r="D78" i="59"/>
  <c r="C78" i="59"/>
  <c r="B78" i="59"/>
  <c r="G77" i="59"/>
  <c r="F77" i="59"/>
  <c r="E77" i="59"/>
  <c r="D77" i="59"/>
  <c r="C77" i="59"/>
  <c r="B77" i="59"/>
  <c r="G73" i="59"/>
  <c r="H73" i="59" s="1"/>
  <c r="I73" i="59" s="1"/>
  <c r="F73" i="59"/>
  <c r="E73" i="59"/>
  <c r="D73" i="59"/>
  <c r="C73" i="59"/>
  <c r="B73" i="59"/>
  <c r="G72" i="59"/>
  <c r="F72" i="59"/>
  <c r="E72" i="59"/>
  <c r="D72" i="59"/>
  <c r="C72" i="59"/>
  <c r="B72" i="59"/>
  <c r="G70" i="59"/>
  <c r="H70" i="59" s="1"/>
  <c r="I70" i="59" s="1"/>
  <c r="F70" i="59"/>
  <c r="E70" i="59"/>
  <c r="D70" i="59"/>
  <c r="C70" i="59"/>
  <c r="B70" i="59"/>
  <c r="G69" i="59"/>
  <c r="F69" i="59"/>
  <c r="E69" i="59"/>
  <c r="D69" i="59"/>
  <c r="C69" i="59"/>
  <c r="B69" i="59"/>
  <c r="G68" i="59"/>
  <c r="H68" i="59" s="1"/>
  <c r="I68" i="59" s="1"/>
  <c r="F68" i="59"/>
  <c r="E68" i="59"/>
  <c r="D68" i="59"/>
  <c r="C68" i="59"/>
  <c r="B68" i="59"/>
  <c r="G67" i="59"/>
  <c r="F67" i="59"/>
  <c r="E67" i="59"/>
  <c r="D67" i="59"/>
  <c r="C67" i="59"/>
  <c r="B67" i="59"/>
  <c r="G66" i="59"/>
  <c r="H66" i="59" s="1"/>
  <c r="I66" i="59" s="1"/>
  <c r="F66" i="59"/>
  <c r="E66" i="59"/>
  <c r="D66" i="59"/>
  <c r="C66" i="59"/>
  <c r="B66" i="59"/>
  <c r="G65" i="59"/>
  <c r="F65" i="59"/>
  <c r="E65" i="59"/>
  <c r="D65" i="59"/>
  <c r="C65" i="59"/>
  <c r="B65" i="59"/>
  <c r="G64" i="59"/>
  <c r="H64" i="59" s="1"/>
  <c r="F64" i="59"/>
  <c r="E64" i="59"/>
  <c r="D64" i="59"/>
  <c r="C64" i="59"/>
  <c r="B64" i="59"/>
  <c r="G62" i="59"/>
  <c r="F62" i="59"/>
  <c r="E62" i="59"/>
  <c r="D62" i="59"/>
  <c r="C62" i="59"/>
  <c r="B62" i="59"/>
  <c r="G61" i="59"/>
  <c r="F61" i="59"/>
  <c r="E61" i="59"/>
  <c r="D61" i="59"/>
  <c r="C61" i="59"/>
  <c r="B61" i="59"/>
  <c r="G60" i="59"/>
  <c r="F60" i="59"/>
  <c r="E60" i="59"/>
  <c r="D60" i="59"/>
  <c r="C60" i="59"/>
  <c r="B60" i="59"/>
  <c r="G59" i="59"/>
  <c r="H59" i="59" s="1"/>
  <c r="I59" i="59" s="1"/>
  <c r="F59" i="59"/>
  <c r="E59" i="59"/>
  <c r="D59" i="59"/>
  <c r="C59" i="59"/>
  <c r="B59" i="59"/>
  <c r="G58" i="59"/>
  <c r="F58" i="59"/>
  <c r="E58" i="59"/>
  <c r="D58" i="59"/>
  <c r="C58" i="59"/>
  <c r="B58" i="59"/>
  <c r="G57" i="59"/>
  <c r="H57" i="59" s="1"/>
  <c r="I57" i="59" s="1"/>
  <c r="F57" i="59"/>
  <c r="E57" i="59"/>
  <c r="D57" i="59"/>
  <c r="C57" i="59"/>
  <c r="B57" i="59"/>
  <c r="G56" i="59"/>
  <c r="F56" i="59"/>
  <c r="E56" i="59"/>
  <c r="D56" i="59"/>
  <c r="C56" i="59"/>
  <c r="B56" i="59"/>
  <c r="G54" i="59"/>
  <c r="F54" i="59"/>
  <c r="E54" i="59"/>
  <c r="D54" i="59"/>
  <c r="C54" i="59"/>
  <c r="B54" i="59"/>
  <c r="G53" i="59"/>
  <c r="F53" i="59"/>
  <c r="E53" i="59"/>
  <c r="D53" i="59"/>
  <c r="C53" i="59"/>
  <c r="B53" i="59"/>
  <c r="G52" i="59"/>
  <c r="H52" i="59" s="1"/>
  <c r="I52" i="59" s="1"/>
  <c r="F52" i="59"/>
  <c r="E52" i="59"/>
  <c r="D52" i="59"/>
  <c r="C52" i="59"/>
  <c r="B52" i="59"/>
  <c r="G51" i="59"/>
  <c r="F51" i="59"/>
  <c r="E51" i="59"/>
  <c r="D51" i="59"/>
  <c r="C51" i="59"/>
  <c r="B51" i="59"/>
  <c r="G50" i="59"/>
  <c r="H50" i="59" s="1"/>
  <c r="I50" i="59" s="1"/>
  <c r="F50" i="59"/>
  <c r="E50" i="59"/>
  <c r="D50" i="59"/>
  <c r="C50" i="59"/>
  <c r="B50" i="59"/>
  <c r="G49" i="59"/>
  <c r="F49" i="59"/>
  <c r="E49" i="59"/>
  <c r="D49" i="59"/>
  <c r="C49" i="59"/>
  <c r="B49" i="59"/>
  <c r="G48" i="59"/>
  <c r="F48" i="59"/>
  <c r="E48" i="59"/>
  <c r="D48" i="59"/>
  <c r="C48" i="59"/>
  <c r="B48" i="59"/>
  <c r="G46" i="59"/>
  <c r="F46" i="59"/>
  <c r="E46" i="59"/>
  <c r="D46" i="59"/>
  <c r="C46" i="59"/>
  <c r="B46" i="59"/>
  <c r="G45" i="59"/>
  <c r="F45" i="59"/>
  <c r="E45" i="59"/>
  <c r="D45" i="59"/>
  <c r="C45" i="59"/>
  <c r="B45" i="59"/>
  <c r="G44" i="59"/>
  <c r="F44" i="59"/>
  <c r="E44" i="59"/>
  <c r="D44" i="59"/>
  <c r="C44" i="59"/>
  <c r="B44" i="59"/>
  <c r="G43" i="59"/>
  <c r="H43" i="59" s="1"/>
  <c r="I43" i="59" s="1"/>
  <c r="F43" i="59"/>
  <c r="E43" i="59"/>
  <c r="D43" i="59"/>
  <c r="C43" i="59"/>
  <c r="B43" i="59"/>
  <c r="G42" i="59"/>
  <c r="F42" i="59"/>
  <c r="E42" i="59"/>
  <c r="D42" i="59"/>
  <c r="C42" i="59"/>
  <c r="B42" i="59"/>
  <c r="G41" i="59"/>
  <c r="H41" i="59" s="1"/>
  <c r="I41" i="59" s="1"/>
  <c r="F41" i="59"/>
  <c r="E41" i="59"/>
  <c r="D41" i="59"/>
  <c r="C41" i="59"/>
  <c r="B41" i="59"/>
  <c r="G40" i="59"/>
  <c r="F40" i="59"/>
  <c r="E40" i="59"/>
  <c r="D40" i="59"/>
  <c r="C40" i="59"/>
  <c r="B40" i="59"/>
  <c r="G38" i="59"/>
  <c r="H38" i="59" s="1"/>
  <c r="I38" i="59" s="1"/>
  <c r="F38" i="59"/>
  <c r="E38" i="59"/>
  <c r="D38" i="59"/>
  <c r="C38" i="59"/>
  <c r="B38" i="59"/>
  <c r="G37" i="59"/>
  <c r="F37" i="59"/>
  <c r="E37" i="59"/>
  <c r="D37" i="59"/>
  <c r="C37" i="59"/>
  <c r="B37" i="59"/>
  <c r="G36" i="59"/>
  <c r="H36" i="59" s="1"/>
  <c r="I36" i="59" s="1"/>
  <c r="F36" i="59"/>
  <c r="E36" i="59"/>
  <c r="D36" i="59"/>
  <c r="C36" i="59"/>
  <c r="B36" i="59"/>
  <c r="G35" i="59"/>
  <c r="F35" i="59"/>
  <c r="E35" i="59"/>
  <c r="D35" i="59"/>
  <c r="C35" i="59"/>
  <c r="B35" i="59"/>
  <c r="G34" i="59"/>
  <c r="H34" i="59" s="1"/>
  <c r="I34" i="59" s="1"/>
  <c r="F34" i="59"/>
  <c r="E34" i="59"/>
  <c r="D34" i="59"/>
  <c r="C34" i="59"/>
  <c r="B34" i="59"/>
  <c r="G33" i="59"/>
  <c r="F33" i="59"/>
  <c r="E33" i="59"/>
  <c r="D33" i="59"/>
  <c r="C33" i="59"/>
  <c r="B33" i="59"/>
  <c r="G32" i="59"/>
  <c r="H32" i="59" s="1"/>
  <c r="F32" i="59"/>
  <c r="E32" i="59"/>
  <c r="D32" i="59"/>
  <c r="C32" i="59"/>
  <c r="B32" i="59"/>
  <c r="G30" i="59"/>
  <c r="F30" i="59"/>
  <c r="E30" i="59"/>
  <c r="D30" i="59"/>
  <c r="C30" i="59"/>
  <c r="B30" i="59"/>
  <c r="G29" i="59"/>
  <c r="H29" i="59" s="1"/>
  <c r="I29" i="59" s="1"/>
  <c r="F29" i="59"/>
  <c r="E29" i="59"/>
  <c r="D29" i="59"/>
  <c r="C29" i="59"/>
  <c r="B29" i="59"/>
  <c r="G28" i="59"/>
  <c r="F28" i="59"/>
  <c r="E28" i="59"/>
  <c r="D28" i="59"/>
  <c r="C28" i="59"/>
  <c r="B28" i="59"/>
  <c r="G27" i="59"/>
  <c r="F27" i="59"/>
  <c r="E27" i="59"/>
  <c r="D27" i="59"/>
  <c r="C27" i="59"/>
  <c r="B27" i="59"/>
  <c r="G26" i="59"/>
  <c r="F26" i="59"/>
  <c r="E26" i="59"/>
  <c r="D26" i="59"/>
  <c r="C26" i="59"/>
  <c r="B26" i="59"/>
  <c r="G25" i="59"/>
  <c r="F25" i="59"/>
  <c r="E25" i="59"/>
  <c r="D25" i="59"/>
  <c r="C25" i="59"/>
  <c r="B25" i="59"/>
  <c r="G24" i="59"/>
  <c r="F24" i="59"/>
  <c r="E24" i="59"/>
  <c r="D24" i="59"/>
  <c r="C24" i="59"/>
  <c r="B24" i="59"/>
  <c r="G22" i="59"/>
  <c r="H22" i="59" s="1"/>
  <c r="I22" i="59" s="1"/>
  <c r="F22" i="59"/>
  <c r="E22" i="59"/>
  <c r="D22" i="59"/>
  <c r="C22" i="59"/>
  <c r="B22" i="59"/>
  <c r="G21" i="59"/>
  <c r="F21" i="59"/>
  <c r="E21" i="59"/>
  <c r="D21" i="59"/>
  <c r="C21" i="59"/>
  <c r="B21" i="59"/>
  <c r="G20" i="59"/>
  <c r="H20" i="59" s="1"/>
  <c r="I20" i="59" s="1"/>
  <c r="F20" i="59"/>
  <c r="E20" i="59"/>
  <c r="D20" i="59"/>
  <c r="C20" i="59"/>
  <c r="B20" i="59"/>
  <c r="G19" i="59"/>
  <c r="F19" i="59"/>
  <c r="E19" i="59"/>
  <c r="D19" i="59"/>
  <c r="C19" i="59"/>
  <c r="B19" i="59"/>
  <c r="G18" i="59"/>
  <c r="F18" i="59"/>
  <c r="E18" i="59"/>
  <c r="D18" i="59"/>
  <c r="C18" i="59"/>
  <c r="B18" i="59"/>
  <c r="G17" i="59"/>
  <c r="F17" i="59"/>
  <c r="E17" i="59"/>
  <c r="D17" i="59"/>
  <c r="C17" i="59"/>
  <c r="B17" i="59"/>
  <c r="G16" i="59"/>
  <c r="H16" i="59" s="1"/>
  <c r="I16" i="59" s="1"/>
  <c r="F16" i="59"/>
  <c r="E16" i="59"/>
  <c r="D16" i="59"/>
  <c r="C16" i="59"/>
  <c r="B16" i="59"/>
  <c r="G15" i="59"/>
  <c r="F15" i="59"/>
  <c r="E15" i="59"/>
  <c r="D15" i="59"/>
  <c r="C15" i="59"/>
  <c r="B15" i="59"/>
  <c r="G5" i="59"/>
  <c r="F5" i="59"/>
  <c r="E5" i="59"/>
  <c r="D5" i="59"/>
  <c r="D9" i="59" s="1"/>
  <c r="C5" i="59"/>
  <c r="B5" i="59"/>
  <c r="G1" i="59"/>
  <c r="F1" i="59"/>
  <c r="E1" i="59"/>
  <c r="D1" i="59"/>
  <c r="C1" i="59"/>
  <c r="B1" i="59"/>
  <c r="H137" i="59"/>
  <c r="I137" i="59" s="1"/>
  <c r="H136" i="59"/>
  <c r="I136" i="59" s="1"/>
  <c r="H135" i="59"/>
  <c r="I135" i="59" s="1"/>
  <c r="H134" i="59"/>
  <c r="I134" i="59" s="1"/>
  <c r="H133" i="59"/>
  <c r="I133" i="59" s="1"/>
  <c r="H132" i="59"/>
  <c r="I132" i="59" s="1"/>
  <c r="H131" i="59"/>
  <c r="I131" i="59" s="1"/>
  <c r="I130" i="59" s="1"/>
  <c r="H130" i="59"/>
  <c r="H129" i="59"/>
  <c r="I129" i="59" s="1"/>
  <c r="H128" i="59"/>
  <c r="I128" i="59" s="1"/>
  <c r="H124" i="59"/>
  <c r="I124" i="59" s="1"/>
  <c r="H122" i="59"/>
  <c r="I122" i="59" s="1"/>
  <c r="H121" i="59"/>
  <c r="I121" i="59" s="1"/>
  <c r="H119" i="59"/>
  <c r="I119" i="59" s="1"/>
  <c r="H117" i="59"/>
  <c r="I117" i="59" s="1"/>
  <c r="H115" i="59"/>
  <c r="I115" i="59" s="1"/>
  <c r="H114" i="59"/>
  <c r="I114" i="59" s="1"/>
  <c r="H112" i="59"/>
  <c r="I112" i="59" s="1"/>
  <c r="H110" i="59"/>
  <c r="I110" i="59" s="1"/>
  <c r="H108" i="59"/>
  <c r="I108" i="59" s="1"/>
  <c r="H107" i="59"/>
  <c r="H106" i="59"/>
  <c r="H105" i="59"/>
  <c r="H103" i="59"/>
  <c r="I103" i="59" s="1"/>
  <c r="H101" i="59"/>
  <c r="I101" i="59" s="1"/>
  <c r="I102" i="59" s="1"/>
  <c r="G102" i="59"/>
  <c r="C102" i="59"/>
  <c r="H100" i="59"/>
  <c r="I100" i="59" s="1"/>
  <c r="E99" i="59"/>
  <c r="H97" i="59"/>
  <c r="I97" i="59" s="1"/>
  <c r="H95" i="59"/>
  <c r="I95" i="59" s="1"/>
  <c r="H93" i="59"/>
  <c r="I93" i="59" s="1"/>
  <c r="H92" i="59"/>
  <c r="I92" i="59" s="1"/>
  <c r="H91" i="59"/>
  <c r="I91" i="59" s="1"/>
  <c r="H90" i="59"/>
  <c r="I90" i="59" s="1"/>
  <c r="H89" i="59"/>
  <c r="I89" i="59" s="1"/>
  <c r="H87" i="59"/>
  <c r="I87" i="59" s="1"/>
  <c r="H86" i="59"/>
  <c r="I86" i="59" s="1"/>
  <c r="I85" i="59" s="1"/>
  <c r="H84" i="59"/>
  <c r="I84" i="59" s="1"/>
  <c r="H83" i="59"/>
  <c r="I83" i="59" s="1"/>
  <c r="H81" i="59"/>
  <c r="I81" i="59" s="1"/>
  <c r="H79" i="59"/>
  <c r="I79" i="59" s="1"/>
  <c r="H78" i="59"/>
  <c r="I78" i="59" s="1"/>
  <c r="H76" i="59"/>
  <c r="I76" i="59" s="1"/>
  <c r="H74" i="59"/>
  <c r="I74" i="59" s="1"/>
  <c r="H72" i="59"/>
  <c r="I72" i="59" s="1"/>
  <c r="H71" i="59"/>
  <c r="I71" i="59" s="1"/>
  <c r="H67" i="59"/>
  <c r="I67" i="59" s="1"/>
  <c r="H65" i="59"/>
  <c r="I65" i="59" s="1"/>
  <c r="H63" i="59"/>
  <c r="I63" i="59" s="1"/>
  <c r="H62" i="59"/>
  <c r="I62" i="59" s="1"/>
  <c r="H60" i="59"/>
  <c r="I60" i="59" s="1"/>
  <c r="H58" i="59"/>
  <c r="I58" i="59" s="1"/>
  <c r="H56" i="59"/>
  <c r="H55" i="59"/>
  <c r="I55" i="59" s="1"/>
  <c r="H54" i="59"/>
  <c r="I54" i="59" s="1"/>
  <c r="H51" i="59"/>
  <c r="I51" i="59" s="1"/>
  <c r="H49" i="59"/>
  <c r="I49" i="59" s="1"/>
  <c r="H47" i="59"/>
  <c r="I47" i="59" s="1"/>
  <c r="H46" i="59"/>
  <c r="I46" i="59" s="1"/>
  <c r="H44" i="59"/>
  <c r="I44" i="59" s="1"/>
  <c r="H42" i="59"/>
  <c r="I42" i="59" s="1"/>
  <c r="H40" i="59"/>
  <c r="H39" i="59"/>
  <c r="I39" i="59" s="1"/>
  <c r="H35" i="59"/>
  <c r="I35" i="59" s="1"/>
  <c r="H33" i="59"/>
  <c r="I33" i="59" s="1"/>
  <c r="H31" i="59"/>
  <c r="I31" i="59" s="1"/>
  <c r="H30" i="59"/>
  <c r="I30" i="59" s="1"/>
  <c r="H28" i="59"/>
  <c r="I28" i="59" s="1"/>
  <c r="H27" i="59"/>
  <c r="I27" i="59" s="1"/>
  <c r="H26" i="59"/>
  <c r="I26" i="59" s="1"/>
  <c r="H24" i="59"/>
  <c r="H23" i="59"/>
  <c r="I23" i="59" s="1"/>
  <c r="H19" i="59"/>
  <c r="I19" i="59" s="1"/>
  <c r="H18" i="59"/>
  <c r="I18" i="59" s="1"/>
  <c r="H17" i="59"/>
  <c r="I17" i="59" s="1"/>
  <c r="H15" i="59"/>
  <c r="H14" i="59"/>
  <c r="I14" i="59" s="1"/>
  <c r="H6" i="59"/>
  <c r="L32" i="58"/>
  <c r="K32" i="58"/>
  <c r="J32" i="58"/>
  <c r="I32" i="58"/>
  <c r="H32" i="58"/>
  <c r="G32" i="58"/>
  <c r="F32" i="58"/>
  <c r="E32" i="58"/>
  <c r="D32" i="58"/>
  <c r="C32" i="58"/>
  <c r="B32" i="58"/>
  <c r="L32" i="57"/>
  <c r="K32" i="57"/>
  <c r="J32" i="57"/>
  <c r="I32" i="57"/>
  <c r="H32" i="57"/>
  <c r="G32" i="57"/>
  <c r="F32" i="57"/>
  <c r="E32" i="57"/>
  <c r="D32" i="57"/>
  <c r="C32" i="57"/>
  <c r="B32" i="57"/>
  <c r="L32" i="56"/>
  <c r="K32" i="56"/>
  <c r="J32" i="56"/>
  <c r="I32" i="56"/>
  <c r="H32" i="56"/>
  <c r="G32" i="56"/>
  <c r="F32" i="56"/>
  <c r="E32" i="56"/>
  <c r="D32" i="56"/>
  <c r="C32" i="56"/>
  <c r="B32" i="56"/>
  <c r="L32" i="55"/>
  <c r="K32" i="55"/>
  <c r="J32" i="55"/>
  <c r="I32" i="55"/>
  <c r="H32" i="55"/>
  <c r="G32" i="55"/>
  <c r="F32" i="55"/>
  <c r="E32" i="55"/>
  <c r="D32" i="55"/>
  <c r="C32" i="55"/>
  <c r="B32" i="55"/>
  <c r="L32" i="54"/>
  <c r="K32" i="54"/>
  <c r="J32" i="54"/>
  <c r="I32" i="54"/>
  <c r="H32" i="54"/>
  <c r="G32" i="54"/>
  <c r="F32" i="54"/>
  <c r="E32" i="54"/>
  <c r="D32" i="54"/>
  <c r="C32" i="54"/>
  <c r="B32" i="54"/>
  <c r="I19" i="91" l="1"/>
  <c r="E96" i="67"/>
  <c r="G96" i="67"/>
  <c r="G99" i="59"/>
  <c r="AG17" i="149"/>
  <c r="H130" i="67"/>
  <c r="G9" i="67"/>
  <c r="L19" i="148"/>
  <c r="L16" i="148" s="1"/>
  <c r="AE14" i="148" s="1"/>
  <c r="L14" i="148" s="1"/>
  <c r="AE8" i="148" s="1"/>
  <c r="AE11" i="148" s="1"/>
  <c r="D13" i="59"/>
  <c r="H126" i="59"/>
  <c r="AE11" i="113"/>
  <c r="S11" i="113" s="1"/>
  <c r="S10" i="121"/>
  <c r="D11" i="121"/>
  <c r="AG14" i="129"/>
  <c r="C11" i="129"/>
  <c r="F10" i="129"/>
  <c r="G11" i="129"/>
  <c r="D11" i="129"/>
  <c r="AD9" i="137"/>
  <c r="AH22" i="81"/>
  <c r="AG18" i="81"/>
  <c r="F19" i="91"/>
  <c r="AH21" i="91"/>
  <c r="N21" i="91"/>
  <c r="AG21" i="91" s="1"/>
  <c r="K19" i="106"/>
  <c r="K16" i="106" s="1"/>
  <c r="AD14" i="106" s="1"/>
  <c r="K14" i="106" s="1"/>
  <c r="AE8" i="105"/>
  <c r="L19" i="106"/>
  <c r="AF16" i="114"/>
  <c r="S16" i="114" s="1"/>
  <c r="F16" i="114"/>
  <c r="C16" i="114"/>
  <c r="L16" i="114"/>
  <c r="AE14" i="114" s="1"/>
  <c r="L14" i="114" s="1"/>
  <c r="AE8" i="114" s="1"/>
  <c r="AE10" i="114" s="1"/>
  <c r="AD10" i="114" s="1"/>
  <c r="S10" i="114" s="1"/>
  <c r="N14" i="113"/>
  <c r="N19" i="113"/>
  <c r="AG17" i="114"/>
  <c r="J16" i="114"/>
  <c r="AG16" i="113"/>
  <c r="AH19" i="113"/>
  <c r="AH16" i="113" s="1"/>
  <c r="AE8" i="122"/>
  <c r="G11" i="121"/>
  <c r="K11" i="121"/>
  <c r="K8" i="121" s="1"/>
  <c r="AD8" i="121" s="1"/>
  <c r="AD9" i="121" s="1"/>
  <c r="S9" i="121" s="1"/>
  <c r="J11" i="121"/>
  <c r="AH13" i="122"/>
  <c r="H25" i="59"/>
  <c r="I32" i="59"/>
  <c r="I64" i="59"/>
  <c r="I69" i="59" s="1"/>
  <c r="I104" i="59"/>
  <c r="T9" i="71" s="1"/>
  <c r="T9" i="72"/>
  <c r="I40" i="59"/>
  <c r="I106" i="59"/>
  <c r="T11" i="71" s="1"/>
  <c r="T11" i="72"/>
  <c r="C13" i="59"/>
  <c r="C143" i="146"/>
  <c r="G96" i="59"/>
  <c r="D7" i="59"/>
  <c r="I56" i="59"/>
  <c r="E75" i="59"/>
  <c r="E143" i="146"/>
  <c r="G13" i="59"/>
  <c r="H13" i="59" s="1"/>
  <c r="I13" i="59" s="1"/>
  <c r="G143" i="146"/>
  <c r="I15" i="59"/>
  <c r="I24" i="59"/>
  <c r="I25" i="59" s="1"/>
  <c r="T18" i="72"/>
  <c r="I107" i="59"/>
  <c r="T12" i="71" s="1"/>
  <c r="T12" i="72"/>
  <c r="D75" i="59"/>
  <c r="D143" i="146"/>
  <c r="H48" i="59"/>
  <c r="I105" i="59"/>
  <c r="T10" i="71" s="1"/>
  <c r="T10" i="72"/>
  <c r="B10" i="59"/>
  <c r="B143" i="146"/>
  <c r="F13" i="59"/>
  <c r="F143" i="146"/>
  <c r="D11" i="59"/>
  <c r="B96" i="59"/>
  <c r="F96" i="59"/>
  <c r="D96" i="59"/>
  <c r="I56" i="67"/>
  <c r="I32" i="67"/>
  <c r="I40" i="67"/>
  <c r="I48" i="67"/>
  <c r="D75" i="67"/>
  <c r="D131" i="146"/>
  <c r="I64" i="67"/>
  <c r="E75" i="67"/>
  <c r="E131" i="146"/>
  <c r="H77" i="67"/>
  <c r="B75" i="67"/>
  <c r="B131" i="146"/>
  <c r="F12" i="67"/>
  <c r="F131" i="146"/>
  <c r="C75" i="67"/>
  <c r="C131" i="146"/>
  <c r="G75" i="67"/>
  <c r="H75" i="67" s="1"/>
  <c r="I75" i="67" s="1"/>
  <c r="G131" i="146"/>
  <c r="C13" i="67"/>
  <c r="N24" i="81"/>
  <c r="AG24" i="81" s="1"/>
  <c r="AH24" i="81"/>
  <c r="K23" i="80"/>
  <c r="L23" i="80"/>
  <c r="F23" i="80"/>
  <c r="J23" i="80"/>
  <c r="C23" i="80"/>
  <c r="I23" i="80"/>
  <c r="E23" i="80"/>
  <c r="S23" i="80"/>
  <c r="K19" i="81"/>
  <c r="K16" i="81" s="1"/>
  <c r="AD14" i="81" s="1"/>
  <c r="K14" i="81" s="1"/>
  <c r="L13" i="81"/>
  <c r="L8" i="81" s="1"/>
  <c r="F13" i="81"/>
  <c r="AG13" i="81"/>
  <c r="K13" i="81"/>
  <c r="C13" i="81"/>
  <c r="E13" i="81"/>
  <c r="J13" i="81"/>
  <c r="D13" i="81"/>
  <c r="L20" i="80"/>
  <c r="E20" i="80"/>
  <c r="K20" i="80"/>
  <c r="I20" i="80"/>
  <c r="AF19" i="80"/>
  <c r="S19" i="80" s="1"/>
  <c r="C20" i="80"/>
  <c r="F20" i="80"/>
  <c r="S20" i="80"/>
  <c r="I19" i="81"/>
  <c r="I16" i="81" s="1"/>
  <c r="AB15" i="81" s="1"/>
  <c r="S15" i="81" s="1"/>
  <c r="N18" i="81"/>
  <c r="AH18" i="81"/>
  <c r="N21" i="81"/>
  <c r="AG21" i="81" s="1"/>
  <c r="AH21" i="81"/>
  <c r="K18" i="80"/>
  <c r="J18" i="80"/>
  <c r="F18" i="80"/>
  <c r="S18" i="80"/>
  <c r="C18" i="80"/>
  <c r="L18" i="80"/>
  <c r="I18" i="80"/>
  <c r="E18" i="80"/>
  <c r="AG17" i="81"/>
  <c r="J19" i="81"/>
  <c r="J16" i="81" s="1"/>
  <c r="S19" i="81"/>
  <c r="AF16" i="81"/>
  <c r="L19" i="81"/>
  <c r="L16" i="81" s="1"/>
  <c r="AE14" i="81" s="1"/>
  <c r="L14" i="81" s="1"/>
  <c r="AE8" i="81" s="1"/>
  <c r="I21" i="80"/>
  <c r="S21" i="80"/>
  <c r="F21" i="80"/>
  <c r="C21" i="80"/>
  <c r="L21" i="80"/>
  <c r="E21" i="80"/>
  <c r="K21" i="80"/>
  <c r="J21" i="80"/>
  <c r="AH20" i="81"/>
  <c r="N20" i="81"/>
  <c r="C19" i="81"/>
  <c r="S22" i="80"/>
  <c r="C22" i="80"/>
  <c r="F22" i="80"/>
  <c r="E22" i="80"/>
  <c r="K22" i="80"/>
  <c r="J22" i="80"/>
  <c r="I22" i="80"/>
  <c r="L22" i="80"/>
  <c r="N13" i="80"/>
  <c r="N25" i="80"/>
  <c r="F19" i="81"/>
  <c r="F16" i="81" s="1"/>
  <c r="N23" i="81"/>
  <c r="AG23" i="81" s="1"/>
  <c r="AH23" i="81"/>
  <c r="N22" i="81"/>
  <c r="AG22" i="81" s="1"/>
  <c r="L24" i="80"/>
  <c r="E24" i="80"/>
  <c r="J24" i="80"/>
  <c r="K24" i="80"/>
  <c r="C24" i="80"/>
  <c r="I24" i="80"/>
  <c r="S24" i="80"/>
  <c r="F24" i="80"/>
  <c r="L17" i="80"/>
  <c r="C17" i="80"/>
  <c r="S17" i="80"/>
  <c r="D17" i="80"/>
  <c r="D16" i="80" s="1"/>
  <c r="J17" i="80"/>
  <c r="I17" i="80"/>
  <c r="E17" i="80"/>
  <c r="K17" i="80"/>
  <c r="AF16" i="80"/>
  <c r="N17" i="81"/>
  <c r="AH17" i="81"/>
  <c r="C16" i="81"/>
  <c r="E19" i="81"/>
  <c r="E16" i="81" s="1"/>
  <c r="X14" i="81" s="1"/>
  <c r="F17" i="80"/>
  <c r="L13" i="91"/>
  <c r="L8" i="91" s="1"/>
  <c r="C13" i="91"/>
  <c r="F13" i="91"/>
  <c r="K13" i="91"/>
  <c r="AG13" i="91"/>
  <c r="D13" i="91"/>
  <c r="J13" i="91"/>
  <c r="E13" i="91"/>
  <c r="AH22" i="91"/>
  <c r="N22" i="91"/>
  <c r="AG22" i="91" s="1"/>
  <c r="N22" i="92"/>
  <c r="AG22" i="92" s="1"/>
  <c r="N18" i="91"/>
  <c r="AH18" i="91"/>
  <c r="AG18" i="92"/>
  <c r="S17" i="91"/>
  <c r="F17" i="91"/>
  <c r="D17" i="91"/>
  <c r="D16" i="91" s="1"/>
  <c r="J17" i="91"/>
  <c r="C17" i="91"/>
  <c r="I17" i="91"/>
  <c r="I16" i="91" s="1"/>
  <c r="AB15" i="91" s="1"/>
  <c r="S15" i="91" s="1"/>
  <c r="E17" i="91"/>
  <c r="K17" i="91"/>
  <c r="K19" i="92"/>
  <c r="K16" i="92" s="1"/>
  <c r="AD14" i="92" s="1"/>
  <c r="K14" i="92" s="1"/>
  <c r="AF16" i="91"/>
  <c r="S19" i="91"/>
  <c r="N24" i="91"/>
  <c r="AG24" i="91" s="1"/>
  <c r="AH24" i="91"/>
  <c r="L17" i="91"/>
  <c r="N18" i="92"/>
  <c r="AH18" i="92"/>
  <c r="S19" i="92"/>
  <c r="AF16" i="92"/>
  <c r="N20" i="92"/>
  <c r="C19" i="92"/>
  <c r="C16" i="92" s="1"/>
  <c r="AH20" i="92"/>
  <c r="I19" i="92"/>
  <c r="I16" i="92" s="1"/>
  <c r="AB15" i="92" s="1"/>
  <c r="S15" i="92" s="1"/>
  <c r="J19" i="91"/>
  <c r="J19" i="92"/>
  <c r="J16" i="92" s="1"/>
  <c r="N24" i="92"/>
  <c r="AG24" i="92" s="1"/>
  <c r="AH24" i="92"/>
  <c r="AG18" i="91"/>
  <c r="N21" i="92"/>
  <c r="AG21" i="92" s="1"/>
  <c r="AH21" i="92"/>
  <c r="L19" i="92"/>
  <c r="L16" i="92" s="1"/>
  <c r="AE14" i="92" s="1"/>
  <c r="L14" i="92" s="1"/>
  <c r="AE8" i="92" s="1"/>
  <c r="AE10" i="92" s="1"/>
  <c r="AD10" i="92" s="1"/>
  <c r="S10" i="92" s="1"/>
  <c r="N20" i="91"/>
  <c r="C19" i="91"/>
  <c r="C16" i="91" s="1"/>
  <c r="AH20" i="91"/>
  <c r="AH13" i="92"/>
  <c r="K19" i="91"/>
  <c r="F19" i="92"/>
  <c r="F16" i="92" s="1"/>
  <c r="E19" i="92"/>
  <c r="E16" i="92" s="1"/>
  <c r="X14" i="92" s="1"/>
  <c r="AH22" i="92"/>
  <c r="E19" i="91"/>
  <c r="L19" i="91"/>
  <c r="AE10" i="105"/>
  <c r="AD10" i="105" s="1"/>
  <c r="S10" i="105" s="1"/>
  <c r="AE11" i="105"/>
  <c r="S11" i="105" s="1"/>
  <c r="AH17" i="106"/>
  <c r="N17" i="106"/>
  <c r="AH23" i="106"/>
  <c r="N23" i="106"/>
  <c r="AG23" i="106" s="1"/>
  <c r="AF25" i="105"/>
  <c r="S16" i="105"/>
  <c r="AH18" i="106"/>
  <c r="N18" i="106"/>
  <c r="AF16" i="106"/>
  <c r="N21" i="106"/>
  <c r="AG21" i="106" s="1"/>
  <c r="AH21" i="106"/>
  <c r="N19" i="105"/>
  <c r="AG20" i="105"/>
  <c r="AG19" i="105" s="1"/>
  <c r="AG16" i="105" s="1"/>
  <c r="AH20" i="106"/>
  <c r="N20" i="106"/>
  <c r="C19" i="106"/>
  <c r="C16" i="106" s="1"/>
  <c r="L13" i="106"/>
  <c r="L8" i="106" s="1"/>
  <c r="J13" i="106"/>
  <c r="K13" i="106"/>
  <c r="E13" i="106"/>
  <c r="C13" i="106"/>
  <c r="D13" i="106"/>
  <c r="F13" i="106"/>
  <c r="AG13" i="106"/>
  <c r="F19" i="106"/>
  <c r="F16" i="106" s="1"/>
  <c r="I19" i="106"/>
  <c r="I16" i="106" s="1"/>
  <c r="AB15" i="106" s="1"/>
  <c r="S15" i="106" s="1"/>
  <c r="E14" i="105"/>
  <c r="N14" i="105" s="1"/>
  <c r="S14" i="105"/>
  <c r="AG18" i="106"/>
  <c r="E19" i="106"/>
  <c r="E16" i="106" s="1"/>
  <c r="X14" i="106" s="1"/>
  <c r="AG17" i="106"/>
  <c r="AH24" i="106"/>
  <c r="N24" i="106"/>
  <c r="AG24" i="106" s="1"/>
  <c r="L16" i="106"/>
  <c r="AE14" i="106" s="1"/>
  <c r="L14" i="106" s="1"/>
  <c r="J19" i="106"/>
  <c r="J16" i="106" s="1"/>
  <c r="AH13" i="105"/>
  <c r="AH19" i="105"/>
  <c r="AH16" i="105" s="1"/>
  <c r="N20" i="114"/>
  <c r="AG20" i="114" s="1"/>
  <c r="AH20" i="114"/>
  <c r="AH19" i="114" s="1"/>
  <c r="S16" i="113"/>
  <c r="AF25" i="113"/>
  <c r="E16" i="114"/>
  <c r="X14" i="114" s="1"/>
  <c r="K16" i="114"/>
  <c r="AD14" i="114" s="1"/>
  <c r="K14" i="114" s="1"/>
  <c r="AF25" i="114"/>
  <c r="S14" i="113"/>
  <c r="AG14" i="113" s="1"/>
  <c r="AH18" i="114"/>
  <c r="N18" i="114"/>
  <c r="AG18" i="114"/>
  <c r="AH17" i="114"/>
  <c r="N17" i="114"/>
  <c r="I16" i="114"/>
  <c r="AB15" i="114" s="1"/>
  <c r="S15" i="114" s="1"/>
  <c r="J10" i="121"/>
  <c r="F10" i="121"/>
  <c r="E14" i="122"/>
  <c r="N14" i="122" s="1"/>
  <c r="S14" i="122"/>
  <c r="AE10" i="122"/>
  <c r="AD10" i="122" s="1"/>
  <c r="AE11" i="122"/>
  <c r="D10" i="121"/>
  <c r="AG14" i="121"/>
  <c r="AH19" i="122"/>
  <c r="AH16" i="122" s="1"/>
  <c r="T25" i="121"/>
  <c r="S25" i="121"/>
  <c r="AG25" i="121" s="1"/>
  <c r="C11" i="121"/>
  <c r="E11" i="121"/>
  <c r="T25" i="122"/>
  <c r="S25" i="122"/>
  <c r="AG25" i="122" s="1"/>
  <c r="AG20" i="122"/>
  <c r="AG19" i="122" s="1"/>
  <c r="AG16" i="122" s="1"/>
  <c r="N19" i="122"/>
  <c r="E11" i="129"/>
  <c r="F11" i="129"/>
  <c r="AH19" i="128"/>
  <c r="AH16" i="128" s="1"/>
  <c r="AF25" i="128"/>
  <c r="S16" i="128"/>
  <c r="AE8" i="128"/>
  <c r="E14" i="128"/>
  <c r="N14" i="128" s="1"/>
  <c r="S14" i="128"/>
  <c r="C10" i="129"/>
  <c r="D10" i="129"/>
  <c r="AG20" i="128"/>
  <c r="AG19" i="128" s="1"/>
  <c r="AG16" i="128" s="1"/>
  <c r="N19" i="128"/>
  <c r="G10" i="129"/>
  <c r="J10" i="129"/>
  <c r="AH13" i="128"/>
  <c r="AH22" i="149"/>
  <c r="AH13" i="148"/>
  <c r="AH21" i="149"/>
  <c r="N21" i="149"/>
  <c r="AG21" i="149" s="1"/>
  <c r="I19" i="148"/>
  <c r="I16" i="148" s="1"/>
  <c r="AB15" i="148" s="1"/>
  <c r="S15" i="148" s="1"/>
  <c r="K19" i="148"/>
  <c r="K16" i="148" s="1"/>
  <c r="AD14" i="148" s="1"/>
  <c r="K14" i="148" s="1"/>
  <c r="N22" i="149"/>
  <c r="AG22" i="149" s="1"/>
  <c r="N22" i="148"/>
  <c r="AG22" i="148" s="1"/>
  <c r="AH22" i="148"/>
  <c r="C19" i="149"/>
  <c r="C16" i="149" s="1"/>
  <c r="AH20" i="149"/>
  <c r="N20" i="149"/>
  <c r="AH24" i="148"/>
  <c r="N24" i="148"/>
  <c r="AG24" i="148" s="1"/>
  <c r="AF16" i="148"/>
  <c r="N18" i="148"/>
  <c r="AH18" i="148"/>
  <c r="N21" i="148"/>
  <c r="AG21" i="148" s="1"/>
  <c r="AH21" i="148"/>
  <c r="AH24" i="149"/>
  <c r="N24" i="149"/>
  <c r="AG24" i="149" s="1"/>
  <c r="C19" i="148"/>
  <c r="C16" i="148" s="1"/>
  <c r="AH20" i="148"/>
  <c r="N20" i="148"/>
  <c r="AF16" i="149"/>
  <c r="J19" i="148"/>
  <c r="J16" i="148" s="1"/>
  <c r="N23" i="148"/>
  <c r="AG23" i="148" s="1"/>
  <c r="AH23" i="148"/>
  <c r="F19" i="148"/>
  <c r="F16" i="148" s="1"/>
  <c r="E19" i="148"/>
  <c r="E16" i="148" s="1"/>
  <c r="X14" i="148" s="1"/>
  <c r="AH17" i="149"/>
  <c r="N17" i="149"/>
  <c r="L13" i="149"/>
  <c r="L8" i="149" s="1"/>
  <c r="D13" i="149"/>
  <c r="F13" i="149"/>
  <c r="K13" i="149"/>
  <c r="C13" i="149"/>
  <c r="J13" i="149"/>
  <c r="E13" i="149"/>
  <c r="AG13" i="149"/>
  <c r="AG18" i="149"/>
  <c r="N18" i="149"/>
  <c r="AH18" i="149"/>
  <c r="I23" i="149"/>
  <c r="I19" i="149" s="1"/>
  <c r="I16" i="149" s="1"/>
  <c r="AB15" i="149" s="1"/>
  <c r="S15" i="149" s="1"/>
  <c r="L23" i="149"/>
  <c r="L19" i="149" s="1"/>
  <c r="L16" i="149" s="1"/>
  <c r="AE14" i="149" s="1"/>
  <c r="L14" i="149" s="1"/>
  <c r="AE8" i="149" s="1"/>
  <c r="E23" i="149"/>
  <c r="J23" i="149"/>
  <c r="F23" i="149"/>
  <c r="F19" i="149" s="1"/>
  <c r="F16" i="149" s="1"/>
  <c r="AG18" i="148"/>
  <c r="K23" i="149"/>
  <c r="K19" i="149" s="1"/>
  <c r="K16" i="149" s="1"/>
  <c r="AD14" i="149" s="1"/>
  <c r="K14" i="149" s="1"/>
  <c r="S25" i="138"/>
  <c r="AG25" i="138" s="1"/>
  <c r="T25" i="138"/>
  <c r="AE10" i="138"/>
  <c r="AD10" i="138" s="1"/>
  <c r="AE11" i="138"/>
  <c r="AG14" i="138"/>
  <c r="AE10" i="89"/>
  <c r="AD10" i="89" s="1"/>
  <c r="S10" i="89" s="1"/>
  <c r="AE11" i="89"/>
  <c r="S11" i="89" s="1"/>
  <c r="AE10" i="90"/>
  <c r="AD10" i="90" s="1"/>
  <c r="S10" i="90" s="1"/>
  <c r="AE11" i="90"/>
  <c r="S11" i="90" s="1"/>
  <c r="AH10" i="137"/>
  <c r="N10" i="137"/>
  <c r="AG10" i="137" s="1"/>
  <c r="AH11" i="137"/>
  <c r="N11" i="137"/>
  <c r="AG11" i="137" s="1"/>
  <c r="I9" i="129"/>
  <c r="I8" i="129" s="1"/>
  <c r="AB7" i="129" s="1"/>
  <c r="H9" i="129"/>
  <c r="H8" i="129" s="1"/>
  <c r="AA7" i="129" s="1"/>
  <c r="I9" i="121"/>
  <c r="I8" i="121" s="1"/>
  <c r="AB7" i="121" s="1"/>
  <c r="H9" i="121"/>
  <c r="G9" i="121" s="1"/>
  <c r="C10" i="121"/>
  <c r="E10" i="121"/>
  <c r="G10" i="121"/>
  <c r="AG23" i="114"/>
  <c r="N19" i="114"/>
  <c r="K11" i="113"/>
  <c r="K8" i="113" s="1"/>
  <c r="AD8" i="113" s="1"/>
  <c r="AD9" i="113" s="1"/>
  <c r="S9" i="113" s="1"/>
  <c r="I11" i="113"/>
  <c r="F11" i="113" s="1"/>
  <c r="I10" i="113"/>
  <c r="J10" i="113" s="1"/>
  <c r="K11" i="105"/>
  <c r="K8" i="105" s="1"/>
  <c r="AD8" i="105" s="1"/>
  <c r="AD9" i="105" s="1"/>
  <c r="S9" i="105" s="1"/>
  <c r="T25" i="90"/>
  <c r="S25" i="90"/>
  <c r="AG25" i="90" s="1"/>
  <c r="N14" i="90"/>
  <c r="AG14" i="90" s="1"/>
  <c r="N14" i="89"/>
  <c r="AG14" i="89" s="1"/>
  <c r="AE10" i="81"/>
  <c r="AD10" i="81" s="1"/>
  <c r="S10" i="81" s="1"/>
  <c r="AE11" i="81"/>
  <c r="S11" i="81" s="1"/>
  <c r="G7" i="67"/>
  <c r="H7" i="67" s="1"/>
  <c r="C11" i="67"/>
  <c r="D13" i="67"/>
  <c r="B96" i="67"/>
  <c r="F96" i="67"/>
  <c r="D96" i="67"/>
  <c r="T11" i="68"/>
  <c r="C9" i="67"/>
  <c r="D11" i="67"/>
  <c r="G13" i="67"/>
  <c r="T12" i="68"/>
  <c r="H25" i="67"/>
  <c r="D9" i="67"/>
  <c r="T9" i="68"/>
  <c r="D7" i="67"/>
  <c r="T10" i="68"/>
  <c r="I77" i="67"/>
  <c r="B8" i="67"/>
  <c r="B10" i="67"/>
  <c r="B12" i="67"/>
  <c r="F75" i="67"/>
  <c r="I24" i="67"/>
  <c r="I25" i="67" s="1"/>
  <c r="H45" i="67"/>
  <c r="T21" i="68" s="1"/>
  <c r="I96" i="67"/>
  <c r="I101" i="67"/>
  <c r="I102" i="67" s="1"/>
  <c r="H126" i="67"/>
  <c r="E7" i="67"/>
  <c r="C8" i="67"/>
  <c r="G8" i="67"/>
  <c r="H8" i="67" s="1"/>
  <c r="I8" i="67" s="1"/>
  <c r="E9" i="67"/>
  <c r="C10" i="67"/>
  <c r="G10" i="67"/>
  <c r="H10" i="67" s="1"/>
  <c r="I10" i="67" s="1"/>
  <c r="E11" i="67"/>
  <c r="C12" i="67"/>
  <c r="G12" i="67"/>
  <c r="H12" i="67" s="1"/>
  <c r="I12" i="67" s="1"/>
  <c r="E13" i="67"/>
  <c r="F8" i="67"/>
  <c r="F10" i="67"/>
  <c r="I44" i="67"/>
  <c r="I45" i="67" s="1"/>
  <c r="H61" i="67"/>
  <c r="T23" i="68" s="1"/>
  <c r="B7" i="67"/>
  <c r="F7" i="67"/>
  <c r="D8" i="67"/>
  <c r="B9" i="67"/>
  <c r="F9" i="67"/>
  <c r="D10" i="67"/>
  <c r="B11" i="67"/>
  <c r="F11" i="67"/>
  <c r="D12" i="67"/>
  <c r="B13" i="67"/>
  <c r="F13" i="67"/>
  <c r="I61" i="67"/>
  <c r="E8" i="67"/>
  <c r="E10" i="67"/>
  <c r="E12" i="67"/>
  <c r="I15" i="67"/>
  <c r="H21" i="67"/>
  <c r="T17" i="68" s="1"/>
  <c r="I53" i="67"/>
  <c r="H96" i="67"/>
  <c r="H37" i="67"/>
  <c r="T20" i="68" s="1"/>
  <c r="H53" i="67"/>
  <c r="T22" i="68" s="1"/>
  <c r="H69" i="67"/>
  <c r="T24" i="68" s="1"/>
  <c r="I109" i="67"/>
  <c r="I37" i="67"/>
  <c r="I69" i="67"/>
  <c r="G99" i="67"/>
  <c r="H13" i="67"/>
  <c r="I13" i="67" s="1"/>
  <c r="H11" i="67"/>
  <c r="I11" i="67" s="1"/>
  <c r="H5" i="67"/>
  <c r="I86" i="67"/>
  <c r="I85" i="67" s="1"/>
  <c r="H85" i="67"/>
  <c r="H109" i="67"/>
  <c r="I117" i="67"/>
  <c r="I116" i="67" s="1"/>
  <c r="H116" i="67"/>
  <c r="I126" i="67"/>
  <c r="F10" i="59"/>
  <c r="F12" i="59"/>
  <c r="F75" i="59"/>
  <c r="H116" i="59"/>
  <c r="E7" i="59"/>
  <c r="C8" i="59"/>
  <c r="G8" i="59"/>
  <c r="H8" i="59" s="1"/>
  <c r="I8" i="59" s="1"/>
  <c r="E9" i="59"/>
  <c r="C10" i="59"/>
  <c r="G10" i="59"/>
  <c r="H10" i="59" s="1"/>
  <c r="I10" i="59" s="1"/>
  <c r="E11" i="59"/>
  <c r="C12" i="59"/>
  <c r="G12" i="59"/>
  <c r="H12" i="59" s="1"/>
  <c r="I12" i="59" s="1"/>
  <c r="E13" i="59"/>
  <c r="C75" i="59"/>
  <c r="G75" i="59"/>
  <c r="H75" i="59" s="1"/>
  <c r="I75" i="59" s="1"/>
  <c r="F8" i="59"/>
  <c r="B12" i="59"/>
  <c r="B75" i="59"/>
  <c r="H77" i="59"/>
  <c r="H85" i="59"/>
  <c r="H109" i="59"/>
  <c r="I116" i="59"/>
  <c r="B7" i="59"/>
  <c r="F7" i="59"/>
  <c r="D8" i="59"/>
  <c r="B9" i="59"/>
  <c r="F9" i="59"/>
  <c r="D10" i="59"/>
  <c r="B11" i="59"/>
  <c r="F11" i="59"/>
  <c r="D12" i="59"/>
  <c r="B13" i="59"/>
  <c r="B8" i="59"/>
  <c r="H96" i="59"/>
  <c r="C7" i="59"/>
  <c r="G7" i="59"/>
  <c r="H7" i="59" s="1"/>
  <c r="E8" i="59"/>
  <c r="C9" i="59"/>
  <c r="G9" i="59"/>
  <c r="E10" i="59"/>
  <c r="C11" i="59"/>
  <c r="G11" i="59"/>
  <c r="H11" i="59" s="1"/>
  <c r="E12" i="59"/>
  <c r="I21" i="59"/>
  <c r="I61" i="59"/>
  <c r="I109" i="59"/>
  <c r="I37" i="59"/>
  <c r="H61" i="59"/>
  <c r="T23" i="72" s="1"/>
  <c r="I96" i="59"/>
  <c r="H45" i="59"/>
  <c r="T21" i="72" s="1"/>
  <c r="I77" i="59"/>
  <c r="H102" i="59"/>
  <c r="I123" i="59"/>
  <c r="I126" i="59" s="1"/>
  <c r="H21" i="59"/>
  <c r="T17" i="72" s="1"/>
  <c r="H37" i="59"/>
  <c r="T20" i="72" s="1"/>
  <c r="H53" i="59"/>
  <c r="H69" i="59"/>
  <c r="T24" i="72" s="1"/>
  <c r="H5" i="59"/>
  <c r="AF24" i="72" s="1"/>
  <c r="G1" i="52"/>
  <c r="G2" i="130" s="1"/>
  <c r="F1" i="52"/>
  <c r="F2" i="120" s="1"/>
  <c r="E1" i="52"/>
  <c r="E2" i="67" s="1"/>
  <c r="D1" i="52"/>
  <c r="D2" i="120" s="1"/>
  <c r="C1" i="52"/>
  <c r="C2" i="130" s="1"/>
  <c r="B128" i="52"/>
  <c r="B127" i="52"/>
  <c r="B126" i="52"/>
  <c r="B125" i="52"/>
  <c r="B124" i="52"/>
  <c r="B123" i="52"/>
  <c r="B121" i="52"/>
  <c r="B120" i="52"/>
  <c r="B119" i="52"/>
  <c r="B118" i="52"/>
  <c r="B117" i="52"/>
  <c r="B116" i="52"/>
  <c r="B114" i="52"/>
  <c r="B113" i="52"/>
  <c r="B112" i="52"/>
  <c r="B111" i="52"/>
  <c r="B110" i="52"/>
  <c r="B109" i="52"/>
  <c r="B107" i="52"/>
  <c r="B105" i="52"/>
  <c r="B104" i="52"/>
  <c r="B101" i="52"/>
  <c r="B98" i="52"/>
  <c r="B99" i="52" s="1"/>
  <c r="B95" i="52"/>
  <c r="B94" i="52"/>
  <c r="B90" i="52"/>
  <c r="B88" i="52"/>
  <c r="B86" i="52"/>
  <c r="B85" i="52"/>
  <c r="B83" i="52"/>
  <c r="B82" i="52"/>
  <c r="B81" i="52"/>
  <c r="B80" i="52"/>
  <c r="B79" i="52"/>
  <c r="B78" i="52"/>
  <c r="B77" i="52"/>
  <c r="B73" i="52"/>
  <c r="B72" i="52"/>
  <c r="B70" i="52"/>
  <c r="B69" i="52"/>
  <c r="B68" i="52"/>
  <c r="B67" i="52"/>
  <c r="B66" i="52"/>
  <c r="B65" i="52"/>
  <c r="B64" i="52"/>
  <c r="B62" i="52"/>
  <c r="B61" i="52"/>
  <c r="B60" i="52"/>
  <c r="B59" i="52"/>
  <c r="B58" i="52"/>
  <c r="B57" i="52"/>
  <c r="B56" i="52"/>
  <c r="B54" i="52"/>
  <c r="B53" i="52"/>
  <c r="B52" i="52"/>
  <c r="B51" i="52"/>
  <c r="B50" i="52"/>
  <c r="B49" i="52"/>
  <c r="B48" i="52"/>
  <c r="B46" i="52"/>
  <c r="B45" i="52"/>
  <c r="B44" i="52"/>
  <c r="B43" i="52"/>
  <c r="B42" i="52"/>
  <c r="B41" i="52"/>
  <c r="B40" i="52"/>
  <c r="B38" i="52"/>
  <c r="B37" i="52"/>
  <c r="B36" i="52"/>
  <c r="B35" i="52"/>
  <c r="B34" i="52"/>
  <c r="B33" i="52"/>
  <c r="B32" i="52"/>
  <c r="B30" i="52"/>
  <c r="B29" i="52"/>
  <c r="B28" i="52"/>
  <c r="B27" i="52"/>
  <c r="B26" i="52"/>
  <c r="B25" i="52"/>
  <c r="B24" i="52"/>
  <c r="B22" i="52"/>
  <c r="B21" i="52"/>
  <c r="B20" i="52"/>
  <c r="B19" i="52"/>
  <c r="B18" i="52"/>
  <c r="B17" i="52"/>
  <c r="B16" i="52"/>
  <c r="B15" i="52"/>
  <c r="B5" i="52"/>
  <c r="B1" i="52"/>
  <c r="B2" i="112" s="1"/>
  <c r="N23" i="41"/>
  <c r="N24" i="41"/>
  <c r="N25" i="41"/>
  <c r="N26" i="41"/>
  <c r="N27" i="41"/>
  <c r="N28" i="41"/>
  <c r="N29" i="41"/>
  <c r="N30" i="41"/>
  <c r="N22" i="41"/>
  <c r="N13" i="41"/>
  <c r="N14" i="41"/>
  <c r="N15" i="41"/>
  <c r="N16" i="41"/>
  <c r="N17" i="41"/>
  <c r="N18" i="41"/>
  <c r="N19" i="41"/>
  <c r="N20" i="41"/>
  <c r="N21" i="41"/>
  <c r="N31" i="41"/>
  <c r="N12" i="41"/>
  <c r="G5" i="52"/>
  <c r="G119" i="146" s="1"/>
  <c r="I55" i="52"/>
  <c r="H6" i="52"/>
  <c r="H14" i="52"/>
  <c r="I14" i="52" s="1"/>
  <c r="H23" i="52"/>
  <c r="I23" i="52" s="1"/>
  <c r="H31" i="52"/>
  <c r="I31" i="52" s="1"/>
  <c r="H39" i="52"/>
  <c r="I39" i="52" s="1"/>
  <c r="H47" i="52"/>
  <c r="I47" i="52" s="1"/>
  <c r="H55" i="52"/>
  <c r="H63" i="52"/>
  <c r="I63" i="52" s="1"/>
  <c r="H71" i="52"/>
  <c r="I71" i="52" s="1"/>
  <c r="H74" i="52"/>
  <c r="I74" i="52" s="1"/>
  <c r="H76" i="52"/>
  <c r="I76" i="52" s="1"/>
  <c r="H84" i="52"/>
  <c r="I84" i="52" s="1"/>
  <c r="H87" i="52"/>
  <c r="I87" i="52" s="1"/>
  <c r="H89" i="52"/>
  <c r="I89" i="52" s="1"/>
  <c r="H91" i="52"/>
  <c r="I91" i="52" s="1"/>
  <c r="H92" i="52"/>
  <c r="I92" i="52" s="1"/>
  <c r="H93" i="52"/>
  <c r="I93" i="52" s="1"/>
  <c r="H97" i="52"/>
  <c r="I97" i="52" s="1"/>
  <c r="H100" i="52"/>
  <c r="I100" i="52" s="1"/>
  <c r="H103" i="52"/>
  <c r="I103" i="52" s="1"/>
  <c r="H108" i="52"/>
  <c r="I108" i="52" s="1"/>
  <c r="H115" i="52"/>
  <c r="I115" i="52" s="1"/>
  <c r="H122" i="52"/>
  <c r="I122" i="52" s="1"/>
  <c r="H129" i="52"/>
  <c r="I129" i="52" s="1"/>
  <c r="H131" i="52"/>
  <c r="I131" i="52" s="1"/>
  <c r="I130" i="52" s="1"/>
  <c r="H132" i="52"/>
  <c r="I132" i="52" s="1"/>
  <c r="H133" i="52"/>
  <c r="I133" i="52" s="1"/>
  <c r="H134" i="52"/>
  <c r="I134" i="52" s="1"/>
  <c r="H135" i="52"/>
  <c r="I135" i="52" s="1"/>
  <c r="H136" i="52"/>
  <c r="I136" i="52" s="1"/>
  <c r="H137" i="52"/>
  <c r="I137" i="52" s="1"/>
  <c r="C128" i="52"/>
  <c r="C127" i="52"/>
  <c r="C126" i="52"/>
  <c r="C125" i="52"/>
  <c r="C124" i="52"/>
  <c r="C123" i="52"/>
  <c r="C121" i="52"/>
  <c r="C120" i="52"/>
  <c r="C119" i="52"/>
  <c r="C118" i="52"/>
  <c r="C117" i="52"/>
  <c r="C116" i="52"/>
  <c r="C114" i="52"/>
  <c r="C113" i="52"/>
  <c r="C112" i="52"/>
  <c r="C111" i="52"/>
  <c r="C110" i="52"/>
  <c r="C109" i="52"/>
  <c r="C107" i="52"/>
  <c r="C105" i="52"/>
  <c r="C104" i="52"/>
  <c r="C101" i="52"/>
  <c r="C102" i="52" s="1"/>
  <c r="C98" i="52"/>
  <c r="C99" i="52" s="1"/>
  <c r="C95" i="52"/>
  <c r="C94" i="52"/>
  <c r="C90" i="52"/>
  <c r="C88" i="52"/>
  <c r="C86" i="52"/>
  <c r="C85" i="52"/>
  <c r="C83" i="52"/>
  <c r="C82" i="52"/>
  <c r="C81" i="52"/>
  <c r="C80" i="52"/>
  <c r="C79" i="52"/>
  <c r="C78" i="52"/>
  <c r="C77" i="52"/>
  <c r="C73" i="52"/>
  <c r="C72" i="52"/>
  <c r="C70" i="52"/>
  <c r="C69" i="52"/>
  <c r="C68" i="52"/>
  <c r="C67" i="52"/>
  <c r="C66" i="52"/>
  <c r="C65" i="52"/>
  <c r="C64" i="52"/>
  <c r="C62" i="52"/>
  <c r="C61" i="52"/>
  <c r="C60" i="52"/>
  <c r="C59" i="52"/>
  <c r="C58" i="52"/>
  <c r="C57" i="52"/>
  <c r="C56" i="52"/>
  <c r="C54" i="52"/>
  <c r="C53" i="52"/>
  <c r="C52" i="52"/>
  <c r="C51" i="52"/>
  <c r="C50" i="52"/>
  <c r="C49" i="52"/>
  <c r="C48" i="52"/>
  <c r="C46" i="52"/>
  <c r="C45" i="52"/>
  <c r="C44" i="52"/>
  <c r="C43" i="52"/>
  <c r="C42" i="52"/>
  <c r="C41" i="52"/>
  <c r="C40" i="52"/>
  <c r="C38" i="52"/>
  <c r="C37" i="52"/>
  <c r="C36" i="52"/>
  <c r="C35" i="52"/>
  <c r="C34" i="52"/>
  <c r="C33" i="52"/>
  <c r="C32" i="52"/>
  <c r="C30" i="52"/>
  <c r="C29" i="52"/>
  <c r="C28" i="52"/>
  <c r="C27" i="52"/>
  <c r="C26" i="52"/>
  <c r="C25" i="52"/>
  <c r="C24" i="52"/>
  <c r="C22" i="52"/>
  <c r="C21" i="52"/>
  <c r="C20" i="52"/>
  <c r="C19" i="52"/>
  <c r="C18" i="52"/>
  <c r="C17" i="52"/>
  <c r="C16" i="52"/>
  <c r="C15" i="52"/>
  <c r="C5" i="52"/>
  <c r="D128" i="52"/>
  <c r="D127" i="52"/>
  <c r="D126" i="52"/>
  <c r="D125" i="52"/>
  <c r="D124" i="52"/>
  <c r="D123" i="52"/>
  <c r="D121" i="52"/>
  <c r="D120" i="52"/>
  <c r="D119" i="52"/>
  <c r="D118" i="52"/>
  <c r="D117" i="52"/>
  <c r="D116" i="52"/>
  <c r="D114" i="52"/>
  <c r="D113" i="52"/>
  <c r="D112" i="52"/>
  <c r="D111" i="52"/>
  <c r="D110" i="52"/>
  <c r="D109" i="52"/>
  <c r="D107" i="52"/>
  <c r="D105" i="52"/>
  <c r="D104" i="52"/>
  <c r="D101" i="52"/>
  <c r="D102" i="52" s="1"/>
  <c r="D98" i="52"/>
  <c r="D99" i="52" s="1"/>
  <c r="D95" i="52"/>
  <c r="D96" i="52" s="1"/>
  <c r="D94" i="52"/>
  <c r="D90" i="52"/>
  <c r="D88" i="52"/>
  <c r="D86" i="52"/>
  <c r="D85" i="52"/>
  <c r="D83" i="52"/>
  <c r="D82" i="52"/>
  <c r="D81" i="52"/>
  <c r="D80" i="52"/>
  <c r="D79" i="52"/>
  <c r="D78" i="52"/>
  <c r="D77" i="52"/>
  <c r="D73" i="52"/>
  <c r="D72" i="52"/>
  <c r="D70" i="52"/>
  <c r="D69" i="52"/>
  <c r="D68" i="52"/>
  <c r="D67" i="52"/>
  <c r="D66" i="52"/>
  <c r="D65" i="52"/>
  <c r="D64" i="52"/>
  <c r="D62" i="52"/>
  <c r="D61" i="52"/>
  <c r="D60" i="52"/>
  <c r="D59" i="52"/>
  <c r="D58" i="52"/>
  <c r="D57" i="52"/>
  <c r="D56" i="52"/>
  <c r="D54" i="52"/>
  <c r="D53" i="52"/>
  <c r="D52" i="52"/>
  <c r="D51" i="52"/>
  <c r="D50" i="52"/>
  <c r="D49" i="52"/>
  <c r="D48" i="52"/>
  <c r="D46" i="52"/>
  <c r="D45" i="52"/>
  <c r="D44" i="52"/>
  <c r="D43" i="52"/>
  <c r="D42" i="52"/>
  <c r="D41" i="52"/>
  <c r="D40" i="52"/>
  <c r="D38" i="52"/>
  <c r="D37" i="52"/>
  <c r="D36" i="52"/>
  <c r="D35" i="52"/>
  <c r="D34" i="52"/>
  <c r="D33" i="52"/>
  <c r="D32" i="52"/>
  <c r="D30" i="52"/>
  <c r="D29" i="52"/>
  <c r="D28" i="52"/>
  <c r="D27" i="52"/>
  <c r="D26" i="52"/>
  <c r="D25" i="52"/>
  <c r="D24" i="52"/>
  <c r="D22" i="52"/>
  <c r="D21" i="52"/>
  <c r="D20" i="52"/>
  <c r="D19" i="52"/>
  <c r="D18" i="52"/>
  <c r="D17" i="52"/>
  <c r="D16" i="52"/>
  <c r="D15" i="52"/>
  <c r="D5" i="52"/>
  <c r="E128" i="52"/>
  <c r="E127" i="52"/>
  <c r="E126" i="52"/>
  <c r="E125" i="52"/>
  <c r="E124" i="52"/>
  <c r="E123" i="52"/>
  <c r="E121" i="52"/>
  <c r="E120" i="52"/>
  <c r="E119" i="52"/>
  <c r="E118" i="52"/>
  <c r="E117" i="52"/>
  <c r="E116" i="52"/>
  <c r="E114" i="52"/>
  <c r="E113" i="52"/>
  <c r="E112" i="52"/>
  <c r="E111" i="52"/>
  <c r="E110" i="52"/>
  <c r="E109" i="52"/>
  <c r="E107" i="52"/>
  <c r="E105" i="52"/>
  <c r="E104" i="52"/>
  <c r="E101" i="52"/>
  <c r="E102" i="52" s="1"/>
  <c r="E98" i="52"/>
  <c r="E99" i="52" s="1"/>
  <c r="E95" i="52"/>
  <c r="E94" i="52"/>
  <c r="E90" i="52"/>
  <c r="E88" i="52"/>
  <c r="E86" i="52"/>
  <c r="E85" i="52"/>
  <c r="E83" i="52"/>
  <c r="E82" i="52"/>
  <c r="E81" i="52"/>
  <c r="E80" i="52"/>
  <c r="E79" i="52"/>
  <c r="E78" i="52"/>
  <c r="E77" i="52"/>
  <c r="E73" i="52"/>
  <c r="E72" i="52"/>
  <c r="E70" i="52"/>
  <c r="E69" i="52"/>
  <c r="E68" i="52"/>
  <c r="E67" i="52"/>
  <c r="E66" i="52"/>
  <c r="E65" i="52"/>
  <c r="E64" i="52"/>
  <c r="E62" i="52"/>
  <c r="E61" i="52"/>
  <c r="E60" i="52"/>
  <c r="E59" i="52"/>
  <c r="E58" i="52"/>
  <c r="E57" i="52"/>
  <c r="E56" i="52"/>
  <c r="E54" i="52"/>
  <c r="E53" i="52"/>
  <c r="E52" i="52"/>
  <c r="E51" i="52"/>
  <c r="E50" i="52"/>
  <c r="E49" i="52"/>
  <c r="E48" i="52"/>
  <c r="E46" i="52"/>
  <c r="E45" i="52"/>
  <c r="E44" i="52"/>
  <c r="E43" i="52"/>
  <c r="E42" i="52"/>
  <c r="E41" i="52"/>
  <c r="E40" i="52"/>
  <c r="E38" i="52"/>
  <c r="E37" i="52"/>
  <c r="E36" i="52"/>
  <c r="E35" i="52"/>
  <c r="E34" i="52"/>
  <c r="E33" i="52"/>
  <c r="E32" i="52"/>
  <c r="E30" i="52"/>
  <c r="E29" i="52"/>
  <c r="E28" i="52"/>
  <c r="E27" i="52"/>
  <c r="E26" i="52"/>
  <c r="E25" i="52"/>
  <c r="E24" i="52"/>
  <c r="E22" i="52"/>
  <c r="E21" i="52"/>
  <c r="E20" i="52"/>
  <c r="E19" i="52"/>
  <c r="E18" i="52"/>
  <c r="E17" i="52"/>
  <c r="E16" i="52"/>
  <c r="E15" i="52"/>
  <c r="E5" i="52"/>
  <c r="F128" i="52"/>
  <c r="F127" i="52"/>
  <c r="F126" i="52"/>
  <c r="F125" i="52"/>
  <c r="F124" i="52"/>
  <c r="F123" i="52"/>
  <c r="F121" i="52"/>
  <c r="F120" i="52"/>
  <c r="F119" i="52"/>
  <c r="F118" i="52"/>
  <c r="F117" i="52"/>
  <c r="F116" i="52"/>
  <c r="F114" i="52"/>
  <c r="F113" i="52"/>
  <c r="F112" i="52"/>
  <c r="F111" i="52"/>
  <c r="F110" i="52"/>
  <c r="F109" i="52"/>
  <c r="F107" i="52"/>
  <c r="F105" i="52"/>
  <c r="F104" i="52"/>
  <c r="F101" i="52"/>
  <c r="F102" i="52" s="1"/>
  <c r="F98" i="52"/>
  <c r="F99" i="52" s="1"/>
  <c r="F95" i="52"/>
  <c r="F96" i="52" s="1"/>
  <c r="F94" i="52"/>
  <c r="F90" i="52"/>
  <c r="F88" i="52"/>
  <c r="F86" i="52"/>
  <c r="F85" i="52"/>
  <c r="F83" i="52"/>
  <c r="F82" i="52"/>
  <c r="F81" i="52"/>
  <c r="F80" i="52"/>
  <c r="F79" i="52"/>
  <c r="F78" i="52"/>
  <c r="F77" i="52"/>
  <c r="F73" i="52"/>
  <c r="F72" i="52"/>
  <c r="F70" i="52"/>
  <c r="F69" i="52"/>
  <c r="F68" i="52"/>
  <c r="F67" i="52"/>
  <c r="F66" i="52"/>
  <c r="F65" i="52"/>
  <c r="F64" i="52"/>
  <c r="F62" i="52"/>
  <c r="F61" i="52"/>
  <c r="F60" i="52"/>
  <c r="F59" i="52"/>
  <c r="F58" i="52"/>
  <c r="F57" i="52"/>
  <c r="F56" i="52"/>
  <c r="F54" i="52"/>
  <c r="F53" i="52"/>
  <c r="F52" i="52"/>
  <c r="F51" i="52"/>
  <c r="F50" i="52"/>
  <c r="F49" i="52"/>
  <c r="F48" i="52"/>
  <c r="F46" i="52"/>
  <c r="F45" i="52"/>
  <c r="F44" i="52"/>
  <c r="F43" i="52"/>
  <c r="F42" i="52"/>
  <c r="F41" i="52"/>
  <c r="F40" i="52"/>
  <c r="F38" i="52"/>
  <c r="F37" i="52"/>
  <c r="F36" i="52"/>
  <c r="F35" i="52"/>
  <c r="F34" i="52"/>
  <c r="F33" i="52"/>
  <c r="F32" i="52"/>
  <c r="F30" i="52"/>
  <c r="F29" i="52"/>
  <c r="F28" i="52"/>
  <c r="F27" i="52"/>
  <c r="F26" i="52"/>
  <c r="F25" i="52"/>
  <c r="F24" i="52"/>
  <c r="F22" i="52"/>
  <c r="F21" i="52"/>
  <c r="F20" i="52"/>
  <c r="F19" i="52"/>
  <c r="F18" i="52"/>
  <c r="F17" i="52"/>
  <c r="F16" i="52"/>
  <c r="F15" i="52"/>
  <c r="F5" i="52"/>
  <c r="F7" i="52" s="1"/>
  <c r="G128" i="52"/>
  <c r="H128" i="52" s="1"/>
  <c r="I128" i="52" s="1"/>
  <c r="G127" i="52"/>
  <c r="H127" i="52" s="1"/>
  <c r="I127" i="52" s="1"/>
  <c r="G126" i="52"/>
  <c r="G125" i="52"/>
  <c r="H125" i="52" s="1"/>
  <c r="I125" i="52" s="1"/>
  <c r="G124" i="52"/>
  <c r="H124" i="52" s="1"/>
  <c r="I124" i="52" s="1"/>
  <c r="G123" i="52"/>
  <c r="H123" i="52" s="1"/>
  <c r="G121" i="52"/>
  <c r="H121" i="52" s="1"/>
  <c r="I121" i="52" s="1"/>
  <c r="G120" i="52"/>
  <c r="H120" i="52" s="1"/>
  <c r="I120" i="52" s="1"/>
  <c r="G119" i="52"/>
  <c r="H119" i="52" s="1"/>
  <c r="I119" i="52" s="1"/>
  <c r="G118" i="52"/>
  <c r="H118" i="52" s="1"/>
  <c r="I118" i="52" s="1"/>
  <c r="G117" i="52"/>
  <c r="H117" i="52" s="1"/>
  <c r="G116" i="52"/>
  <c r="G114" i="52"/>
  <c r="H114" i="52" s="1"/>
  <c r="I114" i="52" s="1"/>
  <c r="G113" i="52"/>
  <c r="H113" i="52" s="1"/>
  <c r="I113" i="52" s="1"/>
  <c r="G112" i="52"/>
  <c r="H112" i="52" s="1"/>
  <c r="I112" i="52" s="1"/>
  <c r="G111" i="52"/>
  <c r="H111" i="52" s="1"/>
  <c r="I111" i="52" s="1"/>
  <c r="G110" i="52"/>
  <c r="H110" i="52" s="1"/>
  <c r="I110" i="52" s="1"/>
  <c r="G109" i="52"/>
  <c r="G107" i="52"/>
  <c r="H107" i="52" s="1"/>
  <c r="T12" i="73" s="1"/>
  <c r="H106" i="52"/>
  <c r="G105" i="52"/>
  <c r="H105" i="52" s="1"/>
  <c r="G104" i="52"/>
  <c r="H104" i="52" s="1"/>
  <c r="G101" i="52"/>
  <c r="G102" i="52" s="1"/>
  <c r="G98" i="52"/>
  <c r="G95" i="52"/>
  <c r="H95" i="52" s="1"/>
  <c r="G94" i="52"/>
  <c r="H94" i="52" s="1"/>
  <c r="I94" i="52" s="1"/>
  <c r="G90" i="52"/>
  <c r="H90" i="52" s="1"/>
  <c r="I90" i="52" s="1"/>
  <c r="G88" i="52"/>
  <c r="H88" i="52" s="1"/>
  <c r="I88" i="52" s="1"/>
  <c r="G86" i="52"/>
  <c r="H86" i="52" s="1"/>
  <c r="G85" i="52"/>
  <c r="G83" i="52"/>
  <c r="H83" i="52" s="1"/>
  <c r="I83" i="52" s="1"/>
  <c r="G82" i="52"/>
  <c r="H82" i="52" s="1"/>
  <c r="I82" i="52" s="1"/>
  <c r="G81" i="52"/>
  <c r="H81" i="52" s="1"/>
  <c r="I81" i="52" s="1"/>
  <c r="G80" i="52"/>
  <c r="H80" i="52" s="1"/>
  <c r="I80" i="52" s="1"/>
  <c r="G79" i="52"/>
  <c r="H79" i="52" s="1"/>
  <c r="I79" i="52" s="1"/>
  <c r="G78" i="52"/>
  <c r="H78" i="52" s="1"/>
  <c r="I78" i="52" s="1"/>
  <c r="G77" i="52"/>
  <c r="G73" i="52"/>
  <c r="H73" i="52" s="1"/>
  <c r="I73" i="52" s="1"/>
  <c r="G72" i="52"/>
  <c r="H72" i="52" s="1"/>
  <c r="I72" i="52" s="1"/>
  <c r="G70" i="52"/>
  <c r="H70" i="52" s="1"/>
  <c r="G69" i="52"/>
  <c r="G68" i="52"/>
  <c r="H68" i="52" s="1"/>
  <c r="I68" i="52" s="1"/>
  <c r="G67" i="52"/>
  <c r="H67" i="52" s="1"/>
  <c r="I67" i="52" s="1"/>
  <c r="G66" i="52"/>
  <c r="H66" i="52" s="1"/>
  <c r="I66" i="52" s="1"/>
  <c r="G65" i="52"/>
  <c r="H65" i="52" s="1"/>
  <c r="I65" i="52" s="1"/>
  <c r="G64" i="52"/>
  <c r="H64" i="52" s="1"/>
  <c r="G62" i="52"/>
  <c r="H62" i="52" s="1"/>
  <c r="G61" i="52"/>
  <c r="G60" i="52"/>
  <c r="H60" i="52" s="1"/>
  <c r="I60" i="52" s="1"/>
  <c r="G59" i="52"/>
  <c r="H59" i="52" s="1"/>
  <c r="I59" i="52" s="1"/>
  <c r="G58" i="52"/>
  <c r="H58" i="52" s="1"/>
  <c r="I58" i="52" s="1"/>
  <c r="G57" i="52"/>
  <c r="H57" i="52" s="1"/>
  <c r="I57" i="52" s="1"/>
  <c r="G56" i="52"/>
  <c r="G54" i="52"/>
  <c r="H54" i="52" s="1"/>
  <c r="I54" i="52" s="1"/>
  <c r="G53" i="52"/>
  <c r="G52" i="52"/>
  <c r="H52" i="52" s="1"/>
  <c r="I52" i="52" s="1"/>
  <c r="G51" i="52"/>
  <c r="H51" i="52" s="1"/>
  <c r="I51" i="52" s="1"/>
  <c r="G50" i="52"/>
  <c r="H50" i="52" s="1"/>
  <c r="I50" i="52" s="1"/>
  <c r="G49" i="52"/>
  <c r="H49" i="52" s="1"/>
  <c r="I49" i="52" s="1"/>
  <c r="G48" i="52"/>
  <c r="G46" i="52"/>
  <c r="H46" i="52" s="1"/>
  <c r="I46" i="52" s="1"/>
  <c r="G45" i="52"/>
  <c r="G44" i="52"/>
  <c r="H44" i="52" s="1"/>
  <c r="I44" i="52" s="1"/>
  <c r="G43" i="52"/>
  <c r="H43" i="52" s="1"/>
  <c r="I43" i="52" s="1"/>
  <c r="G42" i="52"/>
  <c r="H42" i="52" s="1"/>
  <c r="I42" i="52" s="1"/>
  <c r="G41" i="52"/>
  <c r="H41" i="52" s="1"/>
  <c r="I41" i="52" s="1"/>
  <c r="G40" i="52"/>
  <c r="H40" i="52" s="1"/>
  <c r="G38" i="52"/>
  <c r="H38" i="52" s="1"/>
  <c r="G37" i="52"/>
  <c r="G36" i="52"/>
  <c r="H36" i="52" s="1"/>
  <c r="I36" i="52" s="1"/>
  <c r="G35" i="52"/>
  <c r="H35" i="52" s="1"/>
  <c r="I35" i="52" s="1"/>
  <c r="G34" i="52"/>
  <c r="H34" i="52" s="1"/>
  <c r="I34" i="52" s="1"/>
  <c r="G33" i="52"/>
  <c r="H33" i="52" s="1"/>
  <c r="I33" i="52" s="1"/>
  <c r="G32" i="52"/>
  <c r="H32" i="52" s="1"/>
  <c r="I32" i="52" s="1"/>
  <c r="G30" i="52"/>
  <c r="H30" i="52" s="1"/>
  <c r="I30" i="52" s="1"/>
  <c r="G29" i="52"/>
  <c r="H29" i="52" s="1"/>
  <c r="I29" i="52" s="1"/>
  <c r="G28" i="52"/>
  <c r="H28" i="52" s="1"/>
  <c r="I28" i="52" s="1"/>
  <c r="G27" i="52"/>
  <c r="H27" i="52" s="1"/>
  <c r="I27" i="52" s="1"/>
  <c r="G26" i="52"/>
  <c r="H26" i="52" s="1"/>
  <c r="I26" i="52" s="1"/>
  <c r="G25" i="52"/>
  <c r="G24" i="52"/>
  <c r="H24" i="52" s="1"/>
  <c r="G22" i="52"/>
  <c r="H22" i="52" s="1"/>
  <c r="I22" i="52" s="1"/>
  <c r="G21" i="52"/>
  <c r="G20" i="52"/>
  <c r="H20" i="52" s="1"/>
  <c r="I20" i="52" s="1"/>
  <c r="G19" i="52"/>
  <c r="H19" i="52" s="1"/>
  <c r="I19" i="52" s="1"/>
  <c r="G18" i="52"/>
  <c r="H18" i="52" s="1"/>
  <c r="I18" i="52" s="1"/>
  <c r="G17" i="52"/>
  <c r="H17" i="52" s="1"/>
  <c r="I17" i="52" s="1"/>
  <c r="G16" i="52"/>
  <c r="H16" i="52" s="1"/>
  <c r="G15" i="52"/>
  <c r="H15" i="52" s="1"/>
  <c r="G12" i="52"/>
  <c r="H12" i="52" s="1"/>
  <c r="I12" i="52" s="1"/>
  <c r="G8" i="52"/>
  <c r="H8" i="52" s="1"/>
  <c r="I8" i="52" s="1"/>
  <c r="G11" i="52"/>
  <c r="H11" i="52" s="1"/>
  <c r="I11" i="52" s="1"/>
  <c r="B102" i="52"/>
  <c r="E96" i="52"/>
  <c r="C96" i="52"/>
  <c r="B96" i="52"/>
  <c r="L32" i="51"/>
  <c r="K32" i="51"/>
  <c r="J32" i="51"/>
  <c r="I32" i="51"/>
  <c r="H32" i="51"/>
  <c r="G32" i="51"/>
  <c r="F32" i="51"/>
  <c r="E32" i="51"/>
  <c r="D32" i="51"/>
  <c r="C32" i="51"/>
  <c r="B32" i="51"/>
  <c r="L32" i="50"/>
  <c r="K32" i="50"/>
  <c r="J32" i="50"/>
  <c r="I32" i="50"/>
  <c r="H32" i="50"/>
  <c r="G32" i="50"/>
  <c r="F32" i="50"/>
  <c r="E32" i="50"/>
  <c r="D32" i="50"/>
  <c r="C32" i="50"/>
  <c r="B32" i="50"/>
  <c r="L32" i="49"/>
  <c r="K32" i="49"/>
  <c r="J32" i="49"/>
  <c r="I32" i="49"/>
  <c r="H32" i="49"/>
  <c r="G32" i="49"/>
  <c r="F32" i="49"/>
  <c r="E32" i="49"/>
  <c r="D32" i="49"/>
  <c r="C32" i="49"/>
  <c r="B32" i="49"/>
  <c r="L32" i="48"/>
  <c r="K32" i="48"/>
  <c r="J32" i="48"/>
  <c r="I32" i="48"/>
  <c r="H32" i="48"/>
  <c r="G32" i="48"/>
  <c r="F32" i="48"/>
  <c r="E32" i="48"/>
  <c r="D32" i="48"/>
  <c r="C32" i="48"/>
  <c r="B32" i="48"/>
  <c r="L32" i="47"/>
  <c r="K32" i="47"/>
  <c r="J32" i="47"/>
  <c r="I32" i="47"/>
  <c r="H32" i="47"/>
  <c r="G32" i="47"/>
  <c r="F32" i="47"/>
  <c r="E32" i="47"/>
  <c r="D32" i="47"/>
  <c r="C32" i="47"/>
  <c r="B32" i="47"/>
  <c r="H32" i="45"/>
  <c r="B32" i="45"/>
  <c r="L32" i="46"/>
  <c r="K32" i="46"/>
  <c r="J32" i="46"/>
  <c r="I32" i="46"/>
  <c r="H32" i="46"/>
  <c r="G32" i="46"/>
  <c r="F32" i="46"/>
  <c r="E32" i="46"/>
  <c r="D32" i="46"/>
  <c r="C32" i="46"/>
  <c r="B32" i="46"/>
  <c r="F32" i="45"/>
  <c r="K32" i="45"/>
  <c r="I32" i="45"/>
  <c r="G32" i="45"/>
  <c r="E32" i="45"/>
  <c r="C32" i="45"/>
  <c r="L32" i="44"/>
  <c r="K32" i="44"/>
  <c r="J32" i="44"/>
  <c r="I32" i="44"/>
  <c r="H32" i="44"/>
  <c r="G32" i="44"/>
  <c r="F32" i="44"/>
  <c r="E32" i="44"/>
  <c r="D32" i="44"/>
  <c r="C32" i="44"/>
  <c r="B32" i="44"/>
  <c r="L32" i="43"/>
  <c r="K32" i="43"/>
  <c r="J32" i="43"/>
  <c r="I32" i="43"/>
  <c r="H32" i="43"/>
  <c r="G32" i="43"/>
  <c r="F32" i="43"/>
  <c r="E32" i="43"/>
  <c r="D32" i="43"/>
  <c r="C32" i="43"/>
  <c r="B32" i="43"/>
  <c r="L32" i="42"/>
  <c r="K32" i="42"/>
  <c r="J32" i="42"/>
  <c r="I32" i="42"/>
  <c r="H32" i="42"/>
  <c r="G32" i="42"/>
  <c r="F32" i="42"/>
  <c r="E32" i="42"/>
  <c r="D32" i="42"/>
  <c r="C32" i="42"/>
  <c r="B32" i="42"/>
  <c r="F32" i="37"/>
  <c r="C32" i="37"/>
  <c r="D32" i="37"/>
  <c r="H32" i="37"/>
  <c r="K32" i="37"/>
  <c r="L32" i="37"/>
  <c r="B32" i="37"/>
  <c r="L32" i="41"/>
  <c r="K32" i="41"/>
  <c r="J32" i="41"/>
  <c r="I32" i="41"/>
  <c r="H32" i="41"/>
  <c r="G32" i="41"/>
  <c r="F32" i="41"/>
  <c r="E32" i="41"/>
  <c r="D32" i="41"/>
  <c r="C32" i="41"/>
  <c r="B32" i="41"/>
  <c r="L32" i="40"/>
  <c r="K32" i="40"/>
  <c r="J32" i="40"/>
  <c r="I32" i="40"/>
  <c r="H32" i="40"/>
  <c r="G32" i="40"/>
  <c r="F32" i="40"/>
  <c r="E32" i="40"/>
  <c r="D32" i="40"/>
  <c r="C32" i="40"/>
  <c r="B32" i="40"/>
  <c r="L32" i="39"/>
  <c r="K32" i="39"/>
  <c r="J32" i="39"/>
  <c r="I32" i="39"/>
  <c r="H32" i="39"/>
  <c r="G32" i="39"/>
  <c r="F32" i="39"/>
  <c r="E32" i="39"/>
  <c r="D32" i="39"/>
  <c r="C32" i="39"/>
  <c r="B32" i="39"/>
  <c r="L32" i="38"/>
  <c r="K32" i="38"/>
  <c r="J32" i="38"/>
  <c r="I32" i="38"/>
  <c r="H32" i="38"/>
  <c r="G32" i="38"/>
  <c r="F32" i="38"/>
  <c r="E32" i="38"/>
  <c r="D32" i="38"/>
  <c r="C32" i="38"/>
  <c r="B32" i="38"/>
  <c r="I32" i="37"/>
  <c r="G32" i="37"/>
  <c r="E32" i="37"/>
  <c r="L32" i="36"/>
  <c r="K32" i="36"/>
  <c r="J32" i="36"/>
  <c r="I32" i="36"/>
  <c r="H32" i="36"/>
  <c r="G32" i="36"/>
  <c r="F32" i="36"/>
  <c r="E32" i="36"/>
  <c r="D32" i="36"/>
  <c r="C32" i="36"/>
  <c r="B32" i="36"/>
  <c r="AE10" i="148" l="1"/>
  <c r="AD10" i="148" s="1"/>
  <c r="N10" i="121"/>
  <c r="AG10" i="121" s="1"/>
  <c r="C2" i="120"/>
  <c r="F2" i="112"/>
  <c r="B2" i="120"/>
  <c r="G2" i="93"/>
  <c r="D2" i="93"/>
  <c r="AH11" i="129"/>
  <c r="I11" i="59"/>
  <c r="AF22" i="72"/>
  <c r="I11" i="105"/>
  <c r="F11" i="105" s="1"/>
  <c r="C2" i="112"/>
  <c r="B2" i="82"/>
  <c r="B2" i="52"/>
  <c r="E2" i="82"/>
  <c r="G2" i="104"/>
  <c r="F2" i="52"/>
  <c r="D2" i="112"/>
  <c r="C2" i="82"/>
  <c r="B2" i="67"/>
  <c r="E2" i="52"/>
  <c r="G2" i="112"/>
  <c r="F2" i="93"/>
  <c r="D2" i="52"/>
  <c r="F2" i="130"/>
  <c r="C2" i="104"/>
  <c r="B2" i="59"/>
  <c r="E2" i="59"/>
  <c r="G2" i="67"/>
  <c r="F2" i="59"/>
  <c r="D2" i="59"/>
  <c r="I109" i="52"/>
  <c r="F12" i="52"/>
  <c r="H5" i="52"/>
  <c r="AH22" i="80"/>
  <c r="AH19" i="81"/>
  <c r="C2" i="59"/>
  <c r="B2" i="93"/>
  <c r="E2" i="93"/>
  <c r="G2" i="59"/>
  <c r="F2" i="104"/>
  <c r="D2" i="82"/>
  <c r="G96" i="52"/>
  <c r="I107" i="52"/>
  <c r="T12" i="74" s="1"/>
  <c r="N11" i="129"/>
  <c r="AG11" i="129" s="1"/>
  <c r="E2" i="130"/>
  <c r="C2" i="52"/>
  <c r="B2" i="104"/>
  <c r="E2" i="120"/>
  <c r="G2" i="82"/>
  <c r="F2" i="67"/>
  <c r="D2" i="67"/>
  <c r="S7" i="129"/>
  <c r="C2" i="93"/>
  <c r="B2" i="130"/>
  <c r="E2" i="104"/>
  <c r="G2" i="120"/>
  <c r="F2" i="82"/>
  <c r="D2" i="104"/>
  <c r="E2" i="112"/>
  <c r="AH19" i="91"/>
  <c r="D2" i="130"/>
  <c r="C2" i="67"/>
  <c r="G2" i="52"/>
  <c r="F16" i="91"/>
  <c r="AE11" i="92"/>
  <c r="J9" i="129"/>
  <c r="S9" i="137"/>
  <c r="I9" i="137"/>
  <c r="I8" i="137" s="1"/>
  <c r="AB7" i="137" s="1"/>
  <c r="H9" i="137"/>
  <c r="K16" i="91"/>
  <c r="AD14" i="91" s="1"/>
  <c r="K14" i="91" s="1"/>
  <c r="AH13" i="91"/>
  <c r="L16" i="91"/>
  <c r="AE14" i="91" s="1"/>
  <c r="L14" i="91" s="1"/>
  <c r="AE8" i="91" s="1"/>
  <c r="E16" i="91"/>
  <c r="X14" i="91" s="1"/>
  <c r="E14" i="91" s="1"/>
  <c r="I10" i="105"/>
  <c r="E10" i="105" s="1"/>
  <c r="AH13" i="106"/>
  <c r="AG19" i="114"/>
  <c r="AE11" i="114"/>
  <c r="AH16" i="114"/>
  <c r="I10" i="114"/>
  <c r="E10" i="114" s="1"/>
  <c r="T11" i="73"/>
  <c r="I106" i="52"/>
  <c r="T11" i="74" s="1"/>
  <c r="H116" i="52"/>
  <c r="I117" i="52"/>
  <c r="I116" i="52" s="1"/>
  <c r="I24" i="52"/>
  <c r="H25" i="52"/>
  <c r="T18" i="73" s="1"/>
  <c r="H85" i="52"/>
  <c r="I86" i="52"/>
  <c r="I85" i="52" s="1"/>
  <c r="I77" i="52"/>
  <c r="I70" i="52"/>
  <c r="H69" i="52"/>
  <c r="T24" i="73" s="1"/>
  <c r="G99" i="52"/>
  <c r="H98" i="52"/>
  <c r="I98" i="52" s="1"/>
  <c r="D11" i="52"/>
  <c r="D119" i="146"/>
  <c r="D12" i="52"/>
  <c r="H96" i="52"/>
  <c r="I95" i="52"/>
  <c r="I96" i="52" s="1"/>
  <c r="D8" i="52"/>
  <c r="H101" i="52"/>
  <c r="H109" i="52"/>
  <c r="C11" i="52"/>
  <c r="C119" i="146"/>
  <c r="C12" i="52"/>
  <c r="I5" i="52"/>
  <c r="AF18" i="73"/>
  <c r="N16" i="73"/>
  <c r="T10" i="73"/>
  <c r="I105" i="52"/>
  <c r="T10" i="74" s="1"/>
  <c r="H45" i="52"/>
  <c r="T21" i="73" s="1"/>
  <c r="B11" i="52"/>
  <c r="B119" i="146"/>
  <c r="B12" i="52"/>
  <c r="B8" i="52"/>
  <c r="H21" i="52"/>
  <c r="I16" i="52"/>
  <c r="I38" i="52"/>
  <c r="I37" i="52" s="1"/>
  <c r="H37" i="52"/>
  <c r="T20" i="73" s="1"/>
  <c r="AF22" i="73"/>
  <c r="AF22" i="74"/>
  <c r="H48" i="52"/>
  <c r="F75" i="52"/>
  <c r="F119" i="146"/>
  <c r="F9" i="52"/>
  <c r="F13" i="52"/>
  <c r="F8" i="52"/>
  <c r="C8" i="52"/>
  <c r="H77" i="52"/>
  <c r="I40" i="52"/>
  <c r="I62" i="52"/>
  <c r="E11" i="52"/>
  <c r="E119" i="146"/>
  <c r="E12" i="52"/>
  <c r="T9" i="73"/>
  <c r="I104" i="52"/>
  <c r="T9" i="74" s="1"/>
  <c r="I123" i="52"/>
  <c r="I126" i="52" s="1"/>
  <c r="H126" i="52"/>
  <c r="F11" i="52"/>
  <c r="E8" i="52"/>
  <c r="I64" i="52"/>
  <c r="H53" i="52"/>
  <c r="T17" i="73"/>
  <c r="AF23" i="73"/>
  <c r="AF23" i="74"/>
  <c r="H56" i="52"/>
  <c r="H61" i="52" s="1"/>
  <c r="I15" i="52"/>
  <c r="T17" i="71"/>
  <c r="I5" i="59"/>
  <c r="AF21" i="72"/>
  <c r="AF18" i="72"/>
  <c r="N16" i="72"/>
  <c r="AF17" i="72"/>
  <c r="T18" i="71"/>
  <c r="AF23" i="72"/>
  <c r="T23" i="71"/>
  <c r="T20" i="71"/>
  <c r="S22" i="72"/>
  <c r="T24" i="71"/>
  <c r="L24" i="72"/>
  <c r="E24" i="72"/>
  <c r="I24" i="72"/>
  <c r="K24" i="72"/>
  <c r="C24" i="72"/>
  <c r="J24" i="72"/>
  <c r="S24" i="72"/>
  <c r="F24" i="72"/>
  <c r="I45" i="59"/>
  <c r="T21" i="71" s="1"/>
  <c r="I48" i="59"/>
  <c r="T22" i="72"/>
  <c r="L22" i="72" s="1"/>
  <c r="AF18" i="68"/>
  <c r="AF17" i="68"/>
  <c r="AF21" i="68"/>
  <c r="I21" i="67"/>
  <c r="T17" i="70" s="1"/>
  <c r="AF24" i="68"/>
  <c r="T24" i="70"/>
  <c r="T22" i="70"/>
  <c r="T20" i="70"/>
  <c r="AF23" i="68"/>
  <c r="AF22" i="68"/>
  <c r="T21" i="70"/>
  <c r="T23" i="70"/>
  <c r="AG17" i="80"/>
  <c r="L13" i="80"/>
  <c r="L8" i="80" s="1"/>
  <c r="C13" i="80"/>
  <c r="D13" i="80"/>
  <c r="AG13" i="80"/>
  <c r="J13" i="80"/>
  <c r="K13" i="80"/>
  <c r="E13" i="80"/>
  <c r="F13" i="80"/>
  <c r="N21" i="80"/>
  <c r="AG21" i="80" s="1"/>
  <c r="AH21" i="80"/>
  <c r="F19" i="80"/>
  <c r="F16" i="80" s="1"/>
  <c r="AH17" i="80"/>
  <c r="N17" i="80"/>
  <c r="AH18" i="80"/>
  <c r="N18" i="80"/>
  <c r="N20" i="80"/>
  <c r="C19" i="80"/>
  <c r="C16" i="80" s="1"/>
  <c r="AH20" i="80"/>
  <c r="E19" i="80"/>
  <c r="E16" i="80" s="1"/>
  <c r="X14" i="80" s="1"/>
  <c r="N22" i="80"/>
  <c r="AG22" i="80" s="1"/>
  <c r="I19" i="80"/>
  <c r="I16" i="80" s="1"/>
  <c r="AB15" i="80" s="1"/>
  <c r="S15" i="80" s="1"/>
  <c r="J19" i="80"/>
  <c r="J16" i="80" s="1"/>
  <c r="AH16" i="81"/>
  <c r="K19" i="80"/>
  <c r="K16" i="80" s="1"/>
  <c r="AD14" i="80" s="1"/>
  <c r="K14" i="80" s="1"/>
  <c r="AH23" i="80"/>
  <c r="N23" i="80"/>
  <c r="AG23" i="80" s="1"/>
  <c r="S14" i="81"/>
  <c r="E14" i="81"/>
  <c r="N14" i="81" s="1"/>
  <c r="S16" i="80"/>
  <c r="AF25" i="80"/>
  <c r="AH24" i="80"/>
  <c r="N24" i="80"/>
  <c r="AG24" i="80" s="1"/>
  <c r="AG20" i="81"/>
  <c r="AG19" i="81" s="1"/>
  <c r="AG16" i="81" s="1"/>
  <c r="N19" i="81"/>
  <c r="AF25" i="81"/>
  <c r="S16" i="81"/>
  <c r="AG18" i="80"/>
  <c r="L19" i="80"/>
  <c r="L16" i="80" s="1"/>
  <c r="AE14" i="80" s="1"/>
  <c r="L14" i="80" s="1"/>
  <c r="AE8" i="80" s="1"/>
  <c r="AH13" i="81"/>
  <c r="K11" i="92"/>
  <c r="I11" i="92"/>
  <c r="D11" i="92" s="1"/>
  <c r="S16" i="92"/>
  <c r="AF25" i="92"/>
  <c r="S14" i="92"/>
  <c r="E14" i="92"/>
  <c r="N14" i="92" s="1"/>
  <c r="AF25" i="91"/>
  <c r="S16" i="91"/>
  <c r="AH19" i="92"/>
  <c r="AH16" i="92" s="1"/>
  <c r="S11" i="92"/>
  <c r="AG20" i="91"/>
  <c r="AG19" i="91" s="1"/>
  <c r="N19" i="91"/>
  <c r="J16" i="91"/>
  <c r="N19" i="92"/>
  <c r="AG20" i="92"/>
  <c r="AG19" i="92" s="1"/>
  <c r="AG16" i="92" s="1"/>
  <c r="N17" i="91"/>
  <c r="AH17" i="91"/>
  <c r="AH16" i="91" s="1"/>
  <c r="AG17" i="91"/>
  <c r="C11" i="105"/>
  <c r="AE8" i="106"/>
  <c r="E14" i="106"/>
  <c r="N14" i="106" s="1"/>
  <c r="S14" i="106"/>
  <c r="AG14" i="105"/>
  <c r="N19" i="106"/>
  <c r="AG20" i="106"/>
  <c r="AG19" i="106" s="1"/>
  <c r="AG16" i="106" s="1"/>
  <c r="S16" i="106"/>
  <c r="AF25" i="106"/>
  <c r="T25" i="105"/>
  <c r="S25" i="105"/>
  <c r="AG25" i="105" s="1"/>
  <c r="AH19" i="106"/>
  <c r="AH16" i="106" s="1"/>
  <c r="E14" i="114"/>
  <c r="N14" i="114" s="1"/>
  <c r="S14" i="114"/>
  <c r="S25" i="114"/>
  <c r="AG25" i="114" s="1"/>
  <c r="T25" i="114"/>
  <c r="T25" i="113"/>
  <c r="S25" i="113"/>
  <c r="AG25" i="113" s="1"/>
  <c r="AG16" i="114"/>
  <c r="AG14" i="122"/>
  <c r="S11" i="122"/>
  <c r="I11" i="122"/>
  <c r="F11" i="122" s="1"/>
  <c r="K11" i="122"/>
  <c r="K8" i="122" s="1"/>
  <c r="AD8" i="122" s="1"/>
  <c r="AD9" i="122" s="1"/>
  <c r="G11" i="122"/>
  <c r="I10" i="122"/>
  <c r="F10" i="122" s="1"/>
  <c r="S10" i="122"/>
  <c r="E9" i="129"/>
  <c r="X12" i="129" s="1"/>
  <c r="D12" i="129" s="1"/>
  <c r="S25" i="128"/>
  <c r="AG25" i="128" s="1"/>
  <c r="T25" i="128"/>
  <c r="AE10" i="128"/>
  <c r="AD10" i="128" s="1"/>
  <c r="AE11" i="128"/>
  <c r="G9" i="129"/>
  <c r="G8" i="129" s="1"/>
  <c r="Z6" i="129" s="1"/>
  <c r="G6" i="129" s="1"/>
  <c r="Z5" i="129" s="1"/>
  <c r="AG14" i="128"/>
  <c r="AH23" i="149"/>
  <c r="AE11" i="149"/>
  <c r="AE10" i="149"/>
  <c r="AD10" i="149" s="1"/>
  <c r="AF25" i="149"/>
  <c r="S16" i="149"/>
  <c r="N23" i="149"/>
  <c r="AG23" i="149" s="1"/>
  <c r="J19" i="149"/>
  <c r="J16" i="149" s="1"/>
  <c r="S10" i="148"/>
  <c r="I10" i="148"/>
  <c r="J10" i="148" s="1"/>
  <c r="S16" i="148"/>
  <c r="AF25" i="148"/>
  <c r="AG20" i="149"/>
  <c r="E14" i="148"/>
  <c r="N14" i="148" s="1"/>
  <c r="S14" i="148"/>
  <c r="AG20" i="148"/>
  <c r="AG19" i="148" s="1"/>
  <c r="AG16" i="148" s="1"/>
  <c r="N19" i="148"/>
  <c r="S11" i="148"/>
  <c r="K11" i="148"/>
  <c r="K8" i="148" s="1"/>
  <c r="AD8" i="148" s="1"/>
  <c r="AD9" i="148" s="1"/>
  <c r="I11" i="148"/>
  <c r="F11" i="148" s="1"/>
  <c r="AH19" i="149"/>
  <c r="AH16" i="149" s="1"/>
  <c r="E19" i="149"/>
  <c r="E16" i="149" s="1"/>
  <c r="X14" i="149" s="1"/>
  <c r="AH13" i="149"/>
  <c r="AH19" i="148"/>
  <c r="AH16" i="148" s="1"/>
  <c r="I10" i="138"/>
  <c r="J10" i="138" s="1"/>
  <c r="S10" i="138"/>
  <c r="I11" i="138"/>
  <c r="F11" i="138" s="1"/>
  <c r="S11" i="138"/>
  <c r="K11" i="138"/>
  <c r="K8" i="138" s="1"/>
  <c r="AD8" i="138" s="1"/>
  <c r="AD9" i="138" s="1"/>
  <c r="K11" i="89"/>
  <c r="K8" i="89" s="1"/>
  <c r="AD8" i="89" s="1"/>
  <c r="AD9" i="89" s="1"/>
  <c r="S9" i="89" s="1"/>
  <c r="I11" i="89"/>
  <c r="E11" i="89" s="1"/>
  <c r="I10" i="89"/>
  <c r="J10" i="89" s="1"/>
  <c r="K11" i="90"/>
  <c r="K8" i="90" s="1"/>
  <c r="AD8" i="90" s="1"/>
  <c r="AD9" i="90" s="1"/>
  <c r="I11" i="90"/>
  <c r="G11" i="90" s="1"/>
  <c r="I10" i="90"/>
  <c r="J10" i="90" s="1"/>
  <c r="D9" i="129"/>
  <c r="AH10" i="129"/>
  <c r="N10" i="129"/>
  <c r="AG10" i="129" s="1"/>
  <c r="F9" i="129"/>
  <c r="F8" i="129" s="1"/>
  <c r="Y6" i="129" s="1"/>
  <c r="F6" i="129" s="1"/>
  <c r="Y5" i="129" s="1"/>
  <c r="C9" i="129"/>
  <c r="C8" i="129" s="1"/>
  <c r="H8" i="121"/>
  <c r="AA7" i="121" s="1"/>
  <c r="S7" i="121" s="1"/>
  <c r="E9" i="121"/>
  <c r="E8" i="121" s="1"/>
  <c r="X8" i="121" s="1"/>
  <c r="S8" i="121" s="1"/>
  <c r="J9" i="121"/>
  <c r="F9" i="121"/>
  <c r="F8" i="121" s="1"/>
  <c r="Y6" i="121" s="1"/>
  <c r="F6" i="121" s="1"/>
  <c r="Y5" i="121" s="1"/>
  <c r="C9" i="121"/>
  <c r="AH10" i="121"/>
  <c r="D9" i="121"/>
  <c r="G8" i="121"/>
  <c r="Z6" i="121" s="1"/>
  <c r="G6" i="121" s="1"/>
  <c r="Z5" i="121" s="1"/>
  <c r="AH11" i="121"/>
  <c r="N11" i="121"/>
  <c r="AG11" i="121" s="1"/>
  <c r="F10" i="114"/>
  <c r="G11" i="113"/>
  <c r="E11" i="113"/>
  <c r="D11" i="113"/>
  <c r="C10" i="113"/>
  <c r="F10" i="113"/>
  <c r="J11" i="113"/>
  <c r="G10" i="113"/>
  <c r="E10" i="113"/>
  <c r="C11" i="113"/>
  <c r="D10" i="113"/>
  <c r="I9" i="113"/>
  <c r="I8" i="113" s="1"/>
  <c r="AB7" i="113" s="1"/>
  <c r="H9" i="113"/>
  <c r="H8" i="113" s="1"/>
  <c r="AA7" i="113" s="1"/>
  <c r="G11" i="105"/>
  <c r="J11" i="105"/>
  <c r="D11" i="105"/>
  <c r="I9" i="105"/>
  <c r="I8" i="105" s="1"/>
  <c r="AB7" i="105" s="1"/>
  <c r="H9" i="105"/>
  <c r="H8" i="105" s="1"/>
  <c r="AA7" i="105" s="1"/>
  <c r="I10" i="92"/>
  <c r="E10" i="92" s="1"/>
  <c r="K11" i="81"/>
  <c r="K8" i="81" s="1"/>
  <c r="AD8" i="81" s="1"/>
  <c r="AD9" i="81" s="1"/>
  <c r="S9" i="81" s="1"/>
  <c r="I11" i="81"/>
  <c r="G11" i="81" s="1"/>
  <c r="I10" i="81"/>
  <c r="J10" i="81" s="1"/>
  <c r="L32" i="45"/>
  <c r="D32" i="45"/>
  <c r="J32" i="45"/>
  <c r="T18" i="70"/>
  <c r="T18" i="68"/>
  <c r="I5" i="67"/>
  <c r="N16" i="68"/>
  <c r="S21" i="68"/>
  <c r="I7" i="67"/>
  <c r="H9" i="67"/>
  <c r="AF20" i="68" s="1"/>
  <c r="I7" i="59"/>
  <c r="I9" i="59" s="1"/>
  <c r="H9" i="59"/>
  <c r="AF20" i="72" s="1"/>
  <c r="B9" i="52"/>
  <c r="B13" i="52"/>
  <c r="B10" i="52"/>
  <c r="B75" i="52"/>
  <c r="B7" i="52"/>
  <c r="H130" i="52"/>
  <c r="C9" i="52"/>
  <c r="C13" i="52"/>
  <c r="C10" i="52"/>
  <c r="C75" i="52"/>
  <c r="C7" i="52"/>
  <c r="D9" i="52"/>
  <c r="D13" i="52"/>
  <c r="D10" i="52"/>
  <c r="D75" i="52"/>
  <c r="D7" i="52"/>
  <c r="E9" i="52"/>
  <c r="E13" i="52"/>
  <c r="E10" i="52"/>
  <c r="E75" i="52"/>
  <c r="E7" i="52"/>
  <c r="F10" i="52"/>
  <c r="G9" i="52"/>
  <c r="G13" i="52"/>
  <c r="H13" i="52" s="1"/>
  <c r="I13" i="52" s="1"/>
  <c r="AF24" i="74" s="1"/>
  <c r="G10" i="52"/>
  <c r="H10" i="52" s="1"/>
  <c r="I10" i="52" s="1"/>
  <c r="G75" i="52"/>
  <c r="H75" i="52" s="1"/>
  <c r="I75" i="52" s="1"/>
  <c r="G7" i="52"/>
  <c r="H7" i="52" s="1"/>
  <c r="AF17" i="73" s="1"/>
  <c r="J32" i="37"/>
  <c r="J11" i="148" l="1"/>
  <c r="G11" i="148"/>
  <c r="C11" i="148"/>
  <c r="AF22" i="71"/>
  <c r="E11" i="148"/>
  <c r="C10" i="105"/>
  <c r="X12" i="121"/>
  <c r="J11" i="92"/>
  <c r="C18" i="68"/>
  <c r="G10" i="105"/>
  <c r="E8" i="129"/>
  <c r="X8" i="129" s="1"/>
  <c r="S8" i="129" s="1"/>
  <c r="N19" i="149"/>
  <c r="J10" i="105"/>
  <c r="AF21" i="73"/>
  <c r="E11" i="105"/>
  <c r="AG19" i="149"/>
  <c r="AG16" i="149" s="1"/>
  <c r="F10" i="105"/>
  <c r="T20" i="74"/>
  <c r="D10" i="105"/>
  <c r="N14" i="91"/>
  <c r="D11" i="81"/>
  <c r="H8" i="137"/>
  <c r="AA7" i="137" s="1"/>
  <c r="S7" i="137" s="1"/>
  <c r="F9" i="137"/>
  <c r="F8" i="137" s="1"/>
  <c r="Y6" i="137" s="1"/>
  <c r="F6" i="137" s="1"/>
  <c r="Y5" i="137" s="1"/>
  <c r="E9" i="137"/>
  <c r="C9" i="137"/>
  <c r="G9" i="137"/>
  <c r="G8" i="137" s="1"/>
  <c r="Z6" i="137" s="1"/>
  <c r="G6" i="137" s="1"/>
  <c r="Z5" i="137" s="1"/>
  <c r="D9" i="137"/>
  <c r="J9" i="137"/>
  <c r="E11" i="90"/>
  <c r="C11" i="90"/>
  <c r="C10" i="89"/>
  <c r="D10" i="90"/>
  <c r="F10" i="90"/>
  <c r="E10" i="90"/>
  <c r="C10" i="90"/>
  <c r="I22" i="72"/>
  <c r="E22" i="72"/>
  <c r="F22" i="72"/>
  <c r="J22" i="72"/>
  <c r="S14" i="91"/>
  <c r="AG14" i="91" s="1"/>
  <c r="AG14" i="92"/>
  <c r="C10" i="114"/>
  <c r="D10" i="114"/>
  <c r="J10" i="114"/>
  <c r="G10" i="114"/>
  <c r="S11" i="114"/>
  <c r="K11" i="114"/>
  <c r="K8" i="114" s="1"/>
  <c r="AD8" i="114" s="1"/>
  <c r="AD9" i="114" s="1"/>
  <c r="I11" i="114"/>
  <c r="D10" i="122"/>
  <c r="S24" i="74"/>
  <c r="L17" i="73"/>
  <c r="C17" i="73"/>
  <c r="S17" i="73"/>
  <c r="J17" i="73"/>
  <c r="K17" i="73"/>
  <c r="F17" i="73"/>
  <c r="D17" i="73"/>
  <c r="D16" i="73" s="1"/>
  <c r="E17" i="73"/>
  <c r="S23" i="73"/>
  <c r="T22" i="73"/>
  <c r="K22" i="73" s="1"/>
  <c r="I48" i="52"/>
  <c r="I21" i="73"/>
  <c r="C21" i="73"/>
  <c r="L21" i="73"/>
  <c r="F21" i="73"/>
  <c r="J21" i="73"/>
  <c r="E21" i="73"/>
  <c r="S21" i="73"/>
  <c r="K21" i="73"/>
  <c r="H102" i="52"/>
  <c r="I101" i="52"/>
  <c r="I102" i="52" s="1"/>
  <c r="I17" i="73"/>
  <c r="S22" i="74"/>
  <c r="I25" i="52"/>
  <c r="T18" i="74" s="1"/>
  <c r="T23" i="73"/>
  <c r="K23" i="73" s="1"/>
  <c r="I56" i="52"/>
  <c r="I61" i="52" s="1"/>
  <c r="AF24" i="73"/>
  <c r="J24" i="73" s="1"/>
  <c r="S22" i="73"/>
  <c r="J22" i="73"/>
  <c r="F22" i="73"/>
  <c r="C22" i="73"/>
  <c r="E22" i="73"/>
  <c r="K18" i="73"/>
  <c r="F18" i="73"/>
  <c r="L18" i="73"/>
  <c r="S18" i="73"/>
  <c r="J18" i="73"/>
  <c r="C18" i="73"/>
  <c r="E18" i="73"/>
  <c r="I18" i="73"/>
  <c r="I45" i="52"/>
  <c r="T21" i="74" s="1"/>
  <c r="I21" i="52"/>
  <c r="T17" i="74" s="1"/>
  <c r="S23" i="74"/>
  <c r="N25" i="73"/>
  <c r="N13" i="73"/>
  <c r="N16" i="74"/>
  <c r="AF18" i="74"/>
  <c r="AF21" i="74"/>
  <c r="I69" i="52"/>
  <c r="I20" i="72"/>
  <c r="E20" i="72"/>
  <c r="J20" i="72"/>
  <c r="C20" i="72"/>
  <c r="K20" i="72"/>
  <c r="L20" i="72"/>
  <c r="S20" i="72"/>
  <c r="AF19" i="72"/>
  <c r="S19" i="72" s="1"/>
  <c r="F20" i="72"/>
  <c r="I53" i="59"/>
  <c r="T22" i="71" s="1"/>
  <c r="K23" i="72"/>
  <c r="L23" i="72"/>
  <c r="C23" i="72"/>
  <c r="J23" i="72"/>
  <c r="F23" i="72"/>
  <c r="E23" i="72"/>
  <c r="I23" i="72"/>
  <c r="S23" i="72"/>
  <c r="AH24" i="72"/>
  <c r="N24" i="72"/>
  <c r="AG24" i="72" s="1"/>
  <c r="I21" i="72"/>
  <c r="J21" i="72"/>
  <c r="F21" i="72"/>
  <c r="K21" i="72"/>
  <c r="S21" i="72"/>
  <c r="E21" i="72"/>
  <c r="L21" i="72"/>
  <c r="C21" i="72"/>
  <c r="D17" i="72"/>
  <c r="D16" i="72" s="1"/>
  <c r="I17" i="72"/>
  <c r="E17" i="72"/>
  <c r="F17" i="72"/>
  <c r="S17" i="72"/>
  <c r="K17" i="72"/>
  <c r="J17" i="72"/>
  <c r="C17" i="72"/>
  <c r="S22" i="71"/>
  <c r="K18" i="72"/>
  <c r="L18" i="72"/>
  <c r="C18" i="72"/>
  <c r="J18" i="72"/>
  <c r="S18" i="72"/>
  <c r="F18" i="72"/>
  <c r="E18" i="72"/>
  <c r="I18" i="72"/>
  <c r="K22" i="72"/>
  <c r="C22" i="72"/>
  <c r="N13" i="72"/>
  <c r="N25" i="72"/>
  <c r="AF20" i="71"/>
  <c r="AF18" i="71"/>
  <c r="K18" i="71" s="1"/>
  <c r="AF21" i="71"/>
  <c r="N16" i="71"/>
  <c r="AF17" i="71"/>
  <c r="AF24" i="71"/>
  <c r="AF23" i="71"/>
  <c r="L17" i="72"/>
  <c r="J20" i="68"/>
  <c r="C20" i="68"/>
  <c r="F20" i="68"/>
  <c r="K20" i="68"/>
  <c r="I20" i="68"/>
  <c r="L20" i="68"/>
  <c r="E20" i="68"/>
  <c r="K23" i="68"/>
  <c r="E23" i="68"/>
  <c r="L23" i="68"/>
  <c r="J23" i="68"/>
  <c r="C23" i="68"/>
  <c r="I23" i="68"/>
  <c r="F23" i="68"/>
  <c r="C17" i="68"/>
  <c r="F17" i="68"/>
  <c r="J17" i="68"/>
  <c r="K17" i="68"/>
  <c r="D17" i="68"/>
  <c r="I17" i="68"/>
  <c r="E17" i="68"/>
  <c r="L17" i="68"/>
  <c r="AF18" i="70"/>
  <c r="S18" i="70" s="1"/>
  <c r="AF21" i="70"/>
  <c r="AF17" i="70"/>
  <c r="N16" i="70"/>
  <c r="AF23" i="70"/>
  <c r="AF24" i="70"/>
  <c r="J24" i="68"/>
  <c r="C24" i="68"/>
  <c r="L24" i="68"/>
  <c r="F24" i="68"/>
  <c r="E24" i="68"/>
  <c r="I24" i="68"/>
  <c r="K24" i="68"/>
  <c r="L22" i="68"/>
  <c r="F22" i="68"/>
  <c r="J22" i="68"/>
  <c r="C22" i="68"/>
  <c r="I22" i="68"/>
  <c r="K22" i="68"/>
  <c r="E22" i="68"/>
  <c r="I21" i="68"/>
  <c r="K21" i="68"/>
  <c r="C21" i="68"/>
  <c r="L21" i="68"/>
  <c r="F21" i="68"/>
  <c r="E21" i="68"/>
  <c r="J21" i="68"/>
  <c r="AF22" i="70"/>
  <c r="AE10" i="80"/>
  <c r="AD10" i="80" s="1"/>
  <c r="AE11" i="80"/>
  <c r="AG20" i="80"/>
  <c r="AG19" i="80" s="1"/>
  <c r="AG16" i="80" s="1"/>
  <c r="N19" i="80"/>
  <c r="S25" i="80"/>
  <c r="AG25" i="80" s="1"/>
  <c r="T25" i="80"/>
  <c r="E14" i="80"/>
  <c r="N14" i="80" s="1"/>
  <c r="S14" i="80"/>
  <c r="AH13" i="80"/>
  <c r="D10" i="81"/>
  <c r="E11" i="81"/>
  <c r="S25" i="81"/>
  <c r="AG25" i="81" s="1"/>
  <c r="T25" i="81"/>
  <c r="AH19" i="80"/>
  <c r="AH16" i="80" s="1"/>
  <c r="AG14" i="81"/>
  <c r="J10" i="92"/>
  <c r="E11" i="92"/>
  <c r="G10" i="92"/>
  <c r="AE10" i="91"/>
  <c r="AD10" i="91" s="1"/>
  <c r="AE11" i="91"/>
  <c r="G11" i="92"/>
  <c r="F10" i="92"/>
  <c r="AG16" i="91"/>
  <c r="T25" i="91"/>
  <c r="S25" i="91"/>
  <c r="AG25" i="91" s="1"/>
  <c r="D10" i="92"/>
  <c r="S25" i="92"/>
  <c r="AG25" i="92" s="1"/>
  <c r="T25" i="92"/>
  <c r="F11" i="92"/>
  <c r="AG14" i="106"/>
  <c r="T25" i="106"/>
  <c r="S25" i="106"/>
  <c r="AG25" i="106" s="1"/>
  <c r="AH11" i="105"/>
  <c r="S7" i="105"/>
  <c r="N11" i="105"/>
  <c r="AG11" i="105" s="1"/>
  <c r="AE11" i="106"/>
  <c r="AE10" i="106"/>
  <c r="AD10" i="106" s="1"/>
  <c r="AG14" i="114"/>
  <c r="G10" i="122"/>
  <c r="C10" i="122"/>
  <c r="D11" i="122"/>
  <c r="E10" i="122"/>
  <c r="H9" i="122"/>
  <c r="S9" i="122"/>
  <c r="I9" i="122"/>
  <c r="I8" i="122" s="1"/>
  <c r="AB7" i="122" s="1"/>
  <c r="E11" i="122"/>
  <c r="J10" i="122"/>
  <c r="J11" i="122"/>
  <c r="C11" i="122"/>
  <c r="K11" i="128"/>
  <c r="K8" i="128" s="1"/>
  <c r="AD8" i="128" s="1"/>
  <c r="AD9" i="128" s="1"/>
  <c r="S11" i="128"/>
  <c r="I11" i="128"/>
  <c r="C11" i="128" s="1"/>
  <c r="S10" i="128"/>
  <c r="I10" i="128"/>
  <c r="G10" i="128" s="1"/>
  <c r="F10" i="148"/>
  <c r="D11" i="148"/>
  <c r="N11" i="148" s="1"/>
  <c r="AG11" i="148" s="1"/>
  <c r="T25" i="148"/>
  <c r="S25" i="148"/>
  <c r="AG25" i="148" s="1"/>
  <c r="T25" i="149"/>
  <c r="S25" i="149"/>
  <c r="AG25" i="149" s="1"/>
  <c r="AG14" i="148"/>
  <c r="D10" i="148"/>
  <c r="S10" i="149"/>
  <c r="I10" i="149"/>
  <c r="J10" i="149" s="1"/>
  <c r="S9" i="148"/>
  <c r="I9" i="148"/>
  <c r="I8" i="148" s="1"/>
  <c r="AB7" i="148" s="1"/>
  <c r="H9" i="148"/>
  <c r="H8" i="148" s="1"/>
  <c r="AA7" i="148" s="1"/>
  <c r="E14" i="149"/>
  <c r="N14" i="149" s="1"/>
  <c r="S14" i="149"/>
  <c r="C10" i="148"/>
  <c r="AH11" i="148"/>
  <c r="E10" i="148"/>
  <c r="G10" i="148"/>
  <c r="S11" i="149"/>
  <c r="I11" i="149"/>
  <c r="F11" i="149" s="1"/>
  <c r="K11" i="149"/>
  <c r="K8" i="149" s="1"/>
  <c r="AD8" i="149" s="1"/>
  <c r="AD9" i="149" s="1"/>
  <c r="G11" i="138"/>
  <c r="J11" i="138"/>
  <c r="D11" i="138"/>
  <c r="C11" i="138"/>
  <c r="I9" i="138"/>
  <c r="I8" i="138" s="1"/>
  <c r="AB7" i="138" s="1"/>
  <c r="S9" i="138"/>
  <c r="H9" i="138"/>
  <c r="G10" i="138"/>
  <c r="F10" i="138"/>
  <c r="E11" i="138"/>
  <c r="E10" i="138"/>
  <c r="C10" i="138"/>
  <c r="D10" i="138"/>
  <c r="D10" i="89"/>
  <c r="D11" i="89"/>
  <c r="J11" i="89"/>
  <c r="C11" i="89"/>
  <c r="H9" i="89"/>
  <c r="H8" i="89" s="1"/>
  <c r="AA7" i="89" s="1"/>
  <c r="I9" i="89"/>
  <c r="G10" i="89"/>
  <c r="E10" i="89"/>
  <c r="G11" i="89"/>
  <c r="F11" i="89"/>
  <c r="F10" i="89"/>
  <c r="D11" i="90"/>
  <c r="J11" i="90"/>
  <c r="F11" i="90"/>
  <c r="I9" i="90"/>
  <c r="I8" i="90" s="1"/>
  <c r="AB7" i="90" s="1"/>
  <c r="H9" i="90"/>
  <c r="S9" i="90"/>
  <c r="G10" i="90"/>
  <c r="J12" i="129"/>
  <c r="N9" i="129"/>
  <c r="AG9" i="129" s="1"/>
  <c r="AH9" i="129"/>
  <c r="S12" i="129"/>
  <c r="V6" i="129"/>
  <c r="J12" i="121"/>
  <c r="AH12" i="121" s="1"/>
  <c r="D12" i="121"/>
  <c r="AH9" i="121"/>
  <c r="C8" i="121"/>
  <c r="N9" i="121"/>
  <c r="AG9" i="121" s="1"/>
  <c r="S12" i="121"/>
  <c r="S7" i="113"/>
  <c r="N11" i="113"/>
  <c r="AG11" i="113" s="1"/>
  <c r="AH11" i="113"/>
  <c r="G9" i="113"/>
  <c r="G8" i="113" s="1"/>
  <c r="Z6" i="113" s="1"/>
  <c r="G6" i="113" s="1"/>
  <c r="Z5" i="113" s="1"/>
  <c r="D9" i="113"/>
  <c r="F9" i="113"/>
  <c r="F8" i="113" s="1"/>
  <c r="Y6" i="113" s="1"/>
  <c r="F6" i="113" s="1"/>
  <c r="Y5" i="113" s="1"/>
  <c r="J9" i="113"/>
  <c r="E9" i="113"/>
  <c r="X12" i="113" s="1"/>
  <c r="C9" i="113"/>
  <c r="C8" i="113" s="1"/>
  <c r="AH10" i="113"/>
  <c r="N10" i="113"/>
  <c r="AG10" i="113" s="1"/>
  <c r="J9" i="105"/>
  <c r="E9" i="105"/>
  <c r="X12" i="105" s="1"/>
  <c r="C9" i="105"/>
  <c r="G9" i="105"/>
  <c r="G8" i="105" s="1"/>
  <c r="Z6" i="105" s="1"/>
  <c r="G6" i="105" s="1"/>
  <c r="Z5" i="105" s="1"/>
  <c r="AH10" i="105"/>
  <c r="D9" i="105"/>
  <c r="F9" i="105"/>
  <c r="F8" i="105" s="1"/>
  <c r="Y6" i="105" s="1"/>
  <c r="F6" i="105" s="1"/>
  <c r="Y5" i="105" s="1"/>
  <c r="E8" i="105"/>
  <c r="X8" i="105" s="1"/>
  <c r="S8" i="105" s="1"/>
  <c r="C8" i="105"/>
  <c r="C10" i="92"/>
  <c r="J11" i="81"/>
  <c r="G10" i="81"/>
  <c r="E10" i="81"/>
  <c r="C11" i="81"/>
  <c r="F11" i="81"/>
  <c r="C10" i="81"/>
  <c r="F10" i="81"/>
  <c r="H9" i="81"/>
  <c r="H8" i="81" s="1"/>
  <c r="AA7" i="81" s="1"/>
  <c r="I9" i="81"/>
  <c r="I8" i="81" s="1"/>
  <c r="AB7" i="81" s="1"/>
  <c r="F18" i="70"/>
  <c r="J18" i="70"/>
  <c r="C18" i="70"/>
  <c r="L18" i="70"/>
  <c r="K18" i="70"/>
  <c r="I18" i="70"/>
  <c r="E18" i="70"/>
  <c r="E18" i="68"/>
  <c r="L18" i="68"/>
  <c r="J18" i="68"/>
  <c r="F18" i="68"/>
  <c r="K18" i="68"/>
  <c r="I18" i="68"/>
  <c r="S18" i="68"/>
  <c r="S23" i="68"/>
  <c r="N25" i="68"/>
  <c r="N13" i="68"/>
  <c r="I9" i="67"/>
  <c r="AF20" i="70" s="1"/>
  <c r="S20" i="68"/>
  <c r="I7" i="52"/>
  <c r="AF17" i="74" s="1"/>
  <c r="H9" i="52"/>
  <c r="AF20" i="73" s="1"/>
  <c r="J20" i="73" s="1"/>
  <c r="D9" i="138" l="1"/>
  <c r="E9" i="122"/>
  <c r="N10" i="105"/>
  <c r="AG10" i="105" s="1"/>
  <c r="AH10" i="90"/>
  <c r="D10" i="149"/>
  <c r="AH20" i="68"/>
  <c r="K18" i="74"/>
  <c r="N10" i="89"/>
  <c r="AG10" i="89" s="1"/>
  <c r="E11" i="149"/>
  <c r="AH18" i="68"/>
  <c r="I22" i="73"/>
  <c r="N22" i="73" s="1"/>
  <c r="AG22" i="73" s="1"/>
  <c r="L22" i="73"/>
  <c r="AH23" i="68"/>
  <c r="S7" i="81"/>
  <c r="AH11" i="81"/>
  <c r="N10" i="114"/>
  <c r="AG10" i="114" s="1"/>
  <c r="C9" i="122"/>
  <c r="N12" i="121"/>
  <c r="AG12" i="121" s="1"/>
  <c r="J9" i="122"/>
  <c r="F9" i="122"/>
  <c r="F8" i="122" s="1"/>
  <c r="Y6" i="122" s="1"/>
  <c r="F6" i="122" s="1"/>
  <c r="Y5" i="122" s="1"/>
  <c r="J11" i="128"/>
  <c r="X12" i="137"/>
  <c r="E8" i="137"/>
  <c r="X8" i="137" s="1"/>
  <c r="S8" i="137" s="1"/>
  <c r="C8" i="137"/>
  <c r="V6" i="137" s="1"/>
  <c r="C6" i="137" s="1"/>
  <c r="V5" i="137" s="1"/>
  <c r="AH9" i="137"/>
  <c r="N9" i="137"/>
  <c r="AG9" i="137" s="1"/>
  <c r="AH11" i="90"/>
  <c r="F9" i="89"/>
  <c r="F8" i="89" s="1"/>
  <c r="Y6" i="89" s="1"/>
  <c r="F6" i="89" s="1"/>
  <c r="Y5" i="89" s="1"/>
  <c r="G9" i="90"/>
  <c r="G8" i="90" s="1"/>
  <c r="Z6" i="90" s="1"/>
  <c r="G6" i="90" s="1"/>
  <c r="Z5" i="90" s="1"/>
  <c r="I8" i="89"/>
  <c r="AB7" i="89" s="1"/>
  <c r="S7" i="89" s="1"/>
  <c r="N11" i="90"/>
  <c r="AG11" i="90" s="1"/>
  <c r="G9" i="89"/>
  <c r="G8" i="89" s="1"/>
  <c r="Z6" i="89" s="1"/>
  <c r="G6" i="89" s="1"/>
  <c r="Z5" i="89" s="1"/>
  <c r="AH10" i="89"/>
  <c r="N10" i="90"/>
  <c r="AG10" i="90" s="1"/>
  <c r="I17" i="74"/>
  <c r="AH21" i="68"/>
  <c r="AH10" i="114"/>
  <c r="F11" i="114"/>
  <c r="J11" i="114"/>
  <c r="D11" i="114"/>
  <c r="G11" i="114"/>
  <c r="C11" i="114"/>
  <c r="E11" i="114"/>
  <c r="S9" i="114"/>
  <c r="I9" i="114"/>
  <c r="I8" i="114" s="1"/>
  <c r="AB7" i="114" s="1"/>
  <c r="H9" i="114"/>
  <c r="D9" i="122"/>
  <c r="N11" i="122"/>
  <c r="AG11" i="122" s="1"/>
  <c r="L17" i="74"/>
  <c r="D17" i="74"/>
  <c r="D16" i="74" s="1"/>
  <c r="S17" i="74"/>
  <c r="F17" i="74"/>
  <c r="E17" i="74"/>
  <c r="J17" i="74"/>
  <c r="K17" i="74"/>
  <c r="C17" i="74"/>
  <c r="AH21" i="73"/>
  <c r="N21" i="73"/>
  <c r="AG21" i="73" s="1"/>
  <c r="E23" i="73"/>
  <c r="L23" i="73"/>
  <c r="N25" i="74"/>
  <c r="N13" i="74"/>
  <c r="T24" i="74"/>
  <c r="K24" i="74" s="1"/>
  <c r="AG18" i="73"/>
  <c r="I23" i="73"/>
  <c r="C23" i="73"/>
  <c r="AG17" i="73"/>
  <c r="I21" i="74"/>
  <c r="J21" i="74"/>
  <c r="E21" i="74"/>
  <c r="S21" i="74"/>
  <c r="F21" i="74"/>
  <c r="C21" i="74"/>
  <c r="L21" i="74"/>
  <c r="K21" i="74"/>
  <c r="L24" i="73"/>
  <c r="I24" i="73"/>
  <c r="E24" i="73"/>
  <c r="K24" i="73"/>
  <c r="C24" i="73"/>
  <c r="F24" i="73"/>
  <c r="S24" i="73"/>
  <c r="I53" i="52"/>
  <c r="F23" i="73"/>
  <c r="AH17" i="73"/>
  <c r="N17" i="73"/>
  <c r="L20" i="73"/>
  <c r="I20" i="73"/>
  <c r="K20" i="73"/>
  <c r="E20" i="73"/>
  <c r="F20" i="73"/>
  <c r="AF19" i="73"/>
  <c r="S20" i="73"/>
  <c r="C20" i="73"/>
  <c r="S18" i="74"/>
  <c r="L18" i="74"/>
  <c r="I18" i="74"/>
  <c r="F18" i="74"/>
  <c r="C18" i="74"/>
  <c r="E18" i="74"/>
  <c r="J18" i="74"/>
  <c r="L13" i="73"/>
  <c r="L8" i="73" s="1"/>
  <c r="J13" i="73"/>
  <c r="K13" i="73"/>
  <c r="C13" i="73"/>
  <c r="E13" i="73"/>
  <c r="F13" i="73"/>
  <c r="D13" i="73"/>
  <c r="AG13" i="73"/>
  <c r="AH18" i="73"/>
  <c r="N18" i="73"/>
  <c r="T23" i="74"/>
  <c r="J23" i="73"/>
  <c r="J19" i="73" s="1"/>
  <c r="J16" i="73" s="1"/>
  <c r="L22" i="71"/>
  <c r="F22" i="71"/>
  <c r="I22" i="71"/>
  <c r="J22" i="71"/>
  <c r="C22" i="71"/>
  <c r="E22" i="71"/>
  <c r="K22" i="71"/>
  <c r="L20" i="71"/>
  <c r="F20" i="71"/>
  <c r="J20" i="71"/>
  <c r="C20" i="71"/>
  <c r="K20" i="71"/>
  <c r="E20" i="71"/>
  <c r="I20" i="71"/>
  <c r="S20" i="71"/>
  <c r="AF19" i="71"/>
  <c r="AH18" i="72"/>
  <c r="N18" i="72"/>
  <c r="J19" i="72"/>
  <c r="J16" i="72" s="1"/>
  <c r="K23" i="71"/>
  <c r="J23" i="71"/>
  <c r="C23" i="71"/>
  <c r="L23" i="71"/>
  <c r="F23" i="71"/>
  <c r="S23" i="71"/>
  <c r="I23" i="71"/>
  <c r="E23" i="71"/>
  <c r="I21" i="71"/>
  <c r="S21" i="71"/>
  <c r="L21" i="71"/>
  <c r="K21" i="71"/>
  <c r="J21" i="71"/>
  <c r="F21" i="71"/>
  <c r="E21" i="71"/>
  <c r="C21" i="71"/>
  <c r="L13" i="72"/>
  <c r="L8" i="72" s="1"/>
  <c r="F13" i="72"/>
  <c r="D13" i="72"/>
  <c r="AG13" i="72"/>
  <c r="C13" i="72"/>
  <c r="J13" i="72"/>
  <c r="K13" i="72"/>
  <c r="E13" i="72"/>
  <c r="AG18" i="72"/>
  <c r="AF16" i="72"/>
  <c r="AG17" i="72"/>
  <c r="N23" i="72"/>
  <c r="AG23" i="72" s="1"/>
  <c r="AH23" i="72"/>
  <c r="L19" i="72"/>
  <c r="L16" i="72" s="1"/>
  <c r="AE14" i="72" s="1"/>
  <c r="L14" i="72" s="1"/>
  <c r="E19" i="72"/>
  <c r="L17" i="71"/>
  <c r="J17" i="71"/>
  <c r="C17" i="71"/>
  <c r="K17" i="71"/>
  <c r="F17" i="71"/>
  <c r="D17" i="71"/>
  <c r="D16" i="71" s="1"/>
  <c r="E17" i="71"/>
  <c r="S17" i="71"/>
  <c r="E16" i="72"/>
  <c r="X14" i="72" s="1"/>
  <c r="N20" i="72"/>
  <c r="C19" i="72"/>
  <c r="C16" i="72" s="1"/>
  <c r="AH20" i="72"/>
  <c r="N25" i="71"/>
  <c r="N13" i="71"/>
  <c r="I17" i="71"/>
  <c r="L24" i="71"/>
  <c r="K24" i="71"/>
  <c r="C24" i="71"/>
  <c r="J24" i="71"/>
  <c r="I24" i="71"/>
  <c r="E24" i="71"/>
  <c r="F24" i="71"/>
  <c r="S24" i="71"/>
  <c r="L18" i="71"/>
  <c r="F18" i="71"/>
  <c r="S18" i="71"/>
  <c r="I18" i="71"/>
  <c r="J18" i="71"/>
  <c r="E18" i="71"/>
  <c r="C18" i="71"/>
  <c r="N22" i="72"/>
  <c r="AG22" i="72" s="1"/>
  <c r="AH22" i="72"/>
  <c r="AH17" i="72"/>
  <c r="N17" i="72"/>
  <c r="AH21" i="72"/>
  <c r="N21" i="72"/>
  <c r="AG21" i="72" s="1"/>
  <c r="F19" i="72"/>
  <c r="F16" i="72" s="1"/>
  <c r="K19" i="72"/>
  <c r="K16" i="72" s="1"/>
  <c r="AD14" i="72" s="1"/>
  <c r="K14" i="72" s="1"/>
  <c r="I19" i="72"/>
  <c r="I16" i="72" s="1"/>
  <c r="AB15" i="72" s="1"/>
  <c r="S15" i="72" s="1"/>
  <c r="L20" i="70"/>
  <c r="I20" i="70"/>
  <c r="E20" i="70"/>
  <c r="K20" i="70"/>
  <c r="S20" i="70"/>
  <c r="F20" i="70"/>
  <c r="AF19" i="70"/>
  <c r="S19" i="70" s="1"/>
  <c r="C20" i="70"/>
  <c r="J20" i="70"/>
  <c r="L24" i="70"/>
  <c r="K24" i="70"/>
  <c r="C24" i="70"/>
  <c r="J24" i="70"/>
  <c r="I24" i="70"/>
  <c r="E24" i="70"/>
  <c r="S24" i="70"/>
  <c r="F24" i="70"/>
  <c r="N22" i="68"/>
  <c r="K23" i="70"/>
  <c r="J23" i="70"/>
  <c r="C23" i="70"/>
  <c r="F23" i="70"/>
  <c r="L23" i="70"/>
  <c r="I23" i="70"/>
  <c r="S23" i="70"/>
  <c r="E23" i="70"/>
  <c r="I21" i="70"/>
  <c r="L21" i="70"/>
  <c r="S21" i="70"/>
  <c r="E21" i="70"/>
  <c r="K21" i="70"/>
  <c r="J21" i="70"/>
  <c r="C21" i="70"/>
  <c r="F21" i="70"/>
  <c r="N20" i="68"/>
  <c r="AG20" i="68" s="1"/>
  <c r="L17" i="70"/>
  <c r="J17" i="70"/>
  <c r="K17" i="70"/>
  <c r="F17" i="70"/>
  <c r="S17" i="70"/>
  <c r="C17" i="70"/>
  <c r="E17" i="70"/>
  <c r="D17" i="70"/>
  <c r="D16" i="70" s="1"/>
  <c r="AF16" i="70"/>
  <c r="L22" i="70"/>
  <c r="S22" i="70"/>
  <c r="C22" i="70"/>
  <c r="F22" i="70"/>
  <c r="J22" i="70"/>
  <c r="E22" i="70"/>
  <c r="K22" i="70"/>
  <c r="N24" i="68"/>
  <c r="N13" i="70"/>
  <c r="N25" i="70"/>
  <c r="N21" i="68"/>
  <c r="AG21" i="68" s="1"/>
  <c r="I22" i="70"/>
  <c r="N17" i="68"/>
  <c r="N23" i="68"/>
  <c r="AG23" i="68" s="1"/>
  <c r="I17" i="70"/>
  <c r="N11" i="81"/>
  <c r="AG11" i="81" s="1"/>
  <c r="S11" i="80"/>
  <c r="K11" i="80"/>
  <c r="K8" i="80" s="1"/>
  <c r="AD8" i="80" s="1"/>
  <c r="AD9" i="80" s="1"/>
  <c r="I11" i="80"/>
  <c r="G11" i="80" s="1"/>
  <c r="AG14" i="80"/>
  <c r="S10" i="80"/>
  <c r="I10" i="80"/>
  <c r="D10" i="80" s="1"/>
  <c r="S10" i="91"/>
  <c r="I10" i="91"/>
  <c r="E10" i="91" s="1"/>
  <c r="S11" i="91"/>
  <c r="K11" i="91"/>
  <c r="K8" i="91" s="1"/>
  <c r="AD8" i="91" s="1"/>
  <c r="AD9" i="91" s="1"/>
  <c r="I11" i="91"/>
  <c r="J11" i="91" s="1"/>
  <c r="S11" i="106"/>
  <c r="K11" i="106"/>
  <c r="K8" i="106" s="1"/>
  <c r="AD8" i="106" s="1"/>
  <c r="AD9" i="106" s="1"/>
  <c r="I11" i="106"/>
  <c r="F11" i="106" s="1"/>
  <c r="S10" i="106"/>
  <c r="I10" i="106"/>
  <c r="J10" i="106" s="1"/>
  <c r="G10" i="106"/>
  <c r="X12" i="122"/>
  <c r="E8" i="122"/>
  <c r="X8" i="122" s="1"/>
  <c r="S8" i="122" s="1"/>
  <c r="AH11" i="122"/>
  <c r="C8" i="122"/>
  <c r="V6" i="122" s="1"/>
  <c r="C6" i="122" s="1"/>
  <c r="V5" i="122" s="1"/>
  <c r="AH10" i="122"/>
  <c r="N10" i="122"/>
  <c r="AG10" i="122" s="1"/>
  <c r="G9" i="122"/>
  <c r="G8" i="122" s="1"/>
  <c r="Z6" i="122" s="1"/>
  <c r="G6" i="122" s="1"/>
  <c r="Z5" i="122" s="1"/>
  <c r="H8" i="122"/>
  <c r="AA7" i="122" s="1"/>
  <c r="S7" i="122" s="1"/>
  <c r="J10" i="128"/>
  <c r="E10" i="128"/>
  <c r="E11" i="128"/>
  <c r="F10" i="128"/>
  <c r="C10" i="128"/>
  <c r="D11" i="128"/>
  <c r="F11" i="128"/>
  <c r="D10" i="128"/>
  <c r="G11" i="128"/>
  <c r="S9" i="128"/>
  <c r="H9" i="128"/>
  <c r="H8" i="128" s="1"/>
  <c r="AA7" i="128" s="1"/>
  <c r="I9" i="128"/>
  <c r="I8" i="128" s="1"/>
  <c r="AB7" i="128" s="1"/>
  <c r="AH10" i="148"/>
  <c r="AG14" i="149"/>
  <c r="F10" i="149"/>
  <c r="E10" i="149"/>
  <c r="G11" i="149"/>
  <c r="D11" i="149"/>
  <c r="S9" i="149"/>
  <c r="H9" i="149"/>
  <c r="H8" i="149" s="1"/>
  <c r="AA7" i="149" s="1"/>
  <c r="I9" i="149"/>
  <c r="I8" i="149" s="1"/>
  <c r="AB7" i="149" s="1"/>
  <c r="N10" i="148"/>
  <c r="AG10" i="148" s="1"/>
  <c r="G9" i="148"/>
  <c r="G8" i="148" s="1"/>
  <c r="Z6" i="148" s="1"/>
  <c r="G6" i="148" s="1"/>
  <c r="Z5" i="148" s="1"/>
  <c r="D9" i="148"/>
  <c r="J9" i="148"/>
  <c r="C9" i="148"/>
  <c r="E9" i="148"/>
  <c r="C11" i="149"/>
  <c r="J11" i="149"/>
  <c r="F9" i="148"/>
  <c r="F8" i="148" s="1"/>
  <c r="Y6" i="148" s="1"/>
  <c r="F6" i="148" s="1"/>
  <c r="Y5" i="148" s="1"/>
  <c r="S7" i="148"/>
  <c r="C10" i="149"/>
  <c r="G10" i="149"/>
  <c r="J9" i="138"/>
  <c r="C9" i="138"/>
  <c r="N11" i="138"/>
  <c r="AG11" i="138" s="1"/>
  <c r="G9" i="138"/>
  <c r="G8" i="138" s="1"/>
  <c r="Z6" i="138" s="1"/>
  <c r="G6" i="138" s="1"/>
  <c r="Z5" i="138" s="1"/>
  <c r="E9" i="138"/>
  <c r="E8" i="138" s="1"/>
  <c r="X8" i="138" s="1"/>
  <c r="S8" i="138" s="1"/>
  <c r="C8" i="138"/>
  <c r="N10" i="138"/>
  <c r="AG10" i="138" s="1"/>
  <c r="AH10" i="138"/>
  <c r="AH11" i="138"/>
  <c r="F9" i="138"/>
  <c r="F8" i="138" s="1"/>
  <c r="Y6" i="138" s="1"/>
  <c r="F6" i="138" s="1"/>
  <c r="Y5" i="138" s="1"/>
  <c r="H8" i="138"/>
  <c r="AA7" i="138" s="1"/>
  <c r="S7" i="138" s="1"/>
  <c r="E9" i="89"/>
  <c r="E8" i="89" s="1"/>
  <c r="X8" i="89" s="1"/>
  <c r="S8" i="89" s="1"/>
  <c r="J9" i="89"/>
  <c r="C9" i="89"/>
  <c r="C8" i="89" s="1"/>
  <c r="D9" i="89"/>
  <c r="E9" i="90"/>
  <c r="X12" i="90" s="1"/>
  <c r="J9" i="90"/>
  <c r="C9" i="90"/>
  <c r="F9" i="90"/>
  <c r="F8" i="90" s="1"/>
  <c r="Y6" i="90" s="1"/>
  <c r="F6" i="90" s="1"/>
  <c r="Y5" i="90" s="1"/>
  <c r="H8" i="90"/>
  <c r="AA7" i="90" s="1"/>
  <c r="S7" i="90" s="1"/>
  <c r="D9" i="90"/>
  <c r="N12" i="129"/>
  <c r="AG12" i="129" s="1"/>
  <c r="D8" i="129"/>
  <c r="C6" i="129"/>
  <c r="AH12" i="129"/>
  <c r="AH8" i="129" s="1"/>
  <c r="H1" i="130" s="1"/>
  <c r="J8" i="129"/>
  <c r="AC6" i="129" s="1"/>
  <c r="J6" i="129" s="1"/>
  <c r="AC5" i="129" s="1"/>
  <c r="D8" i="121"/>
  <c r="W6" i="121" s="1"/>
  <c r="D6" i="121" s="1"/>
  <c r="W5" i="121" s="1"/>
  <c r="V6" i="121"/>
  <c r="AH8" i="121"/>
  <c r="H1" i="120" s="1"/>
  <c r="J8" i="121"/>
  <c r="AC6" i="121" s="1"/>
  <c r="J6" i="121" s="1"/>
  <c r="AC5" i="121" s="1"/>
  <c r="N9" i="113"/>
  <c r="AG9" i="113" s="1"/>
  <c r="E8" i="113"/>
  <c r="X8" i="113" s="1"/>
  <c r="S8" i="113" s="1"/>
  <c r="AH9" i="113"/>
  <c r="J12" i="113"/>
  <c r="D12" i="113"/>
  <c r="S12" i="113"/>
  <c r="V6" i="113"/>
  <c r="AH9" i="105"/>
  <c r="J12" i="105"/>
  <c r="D12" i="105"/>
  <c r="N9" i="105"/>
  <c r="AG9" i="105" s="1"/>
  <c r="V6" i="105"/>
  <c r="S12" i="105"/>
  <c r="AH10" i="92"/>
  <c r="N10" i="92"/>
  <c r="AG10" i="92" s="1"/>
  <c r="N11" i="89"/>
  <c r="AG11" i="89" s="1"/>
  <c r="AH11" i="89"/>
  <c r="F9" i="81"/>
  <c r="F8" i="81" s="1"/>
  <c r="Y6" i="81" s="1"/>
  <c r="F6" i="81" s="1"/>
  <c r="Y5" i="81" s="1"/>
  <c r="J9" i="81"/>
  <c r="AH10" i="81"/>
  <c r="G9" i="81"/>
  <c r="G8" i="81" s="1"/>
  <c r="Z6" i="81" s="1"/>
  <c r="G6" i="81" s="1"/>
  <c r="Z5" i="81" s="1"/>
  <c r="E9" i="81"/>
  <c r="E8" i="81" s="1"/>
  <c r="X8" i="81" s="1"/>
  <c r="S8" i="81" s="1"/>
  <c r="N10" i="81"/>
  <c r="AG10" i="81" s="1"/>
  <c r="D9" i="81"/>
  <c r="C9" i="81"/>
  <c r="C8" i="81" s="1"/>
  <c r="N18" i="70"/>
  <c r="AH18" i="70"/>
  <c r="AG18" i="70"/>
  <c r="N18" i="68"/>
  <c r="AG18" i="68"/>
  <c r="D16" i="68"/>
  <c r="E19" i="68"/>
  <c r="J19" i="68"/>
  <c r="J16" i="68" s="1"/>
  <c r="L19" i="68"/>
  <c r="L16" i="68" s="1"/>
  <c r="AE14" i="68" s="1"/>
  <c r="L14" i="68" s="1"/>
  <c r="I19" i="68"/>
  <c r="I16" i="68" s="1"/>
  <c r="AB15" i="68" s="1"/>
  <c r="S15" i="68" s="1"/>
  <c r="F19" i="68"/>
  <c r="F16" i="68" s="1"/>
  <c r="L13" i="68"/>
  <c r="L8" i="68" s="1"/>
  <c r="J13" i="68"/>
  <c r="E13" i="68"/>
  <c r="AG13" i="68"/>
  <c r="F13" i="68"/>
  <c r="K13" i="68"/>
  <c r="C13" i="68"/>
  <c r="D13" i="68"/>
  <c r="K19" i="68"/>
  <c r="I9" i="52"/>
  <c r="AF20" i="74" s="1"/>
  <c r="F10" i="106" l="1"/>
  <c r="AH22" i="73"/>
  <c r="J11" i="106"/>
  <c r="X12" i="138"/>
  <c r="S12" i="138" s="1"/>
  <c r="X12" i="89"/>
  <c r="J12" i="89" s="1"/>
  <c r="X12" i="81"/>
  <c r="D11" i="80"/>
  <c r="C11" i="80"/>
  <c r="N9" i="122"/>
  <c r="AG9" i="122" s="1"/>
  <c r="D12" i="137"/>
  <c r="S12" i="137"/>
  <c r="J12" i="137"/>
  <c r="N9" i="89"/>
  <c r="AG9" i="89" s="1"/>
  <c r="E8" i="90"/>
  <c r="X8" i="90" s="1"/>
  <c r="S8" i="90" s="1"/>
  <c r="N9" i="90"/>
  <c r="AG9" i="90" s="1"/>
  <c r="AH9" i="89"/>
  <c r="C8" i="90"/>
  <c r="V6" i="90" s="1"/>
  <c r="L19" i="73"/>
  <c r="L16" i="73" s="1"/>
  <c r="AE14" i="73" s="1"/>
  <c r="L14" i="73" s="1"/>
  <c r="AE8" i="73" s="1"/>
  <c r="F19" i="73"/>
  <c r="F16" i="73" s="1"/>
  <c r="L19" i="71"/>
  <c r="L16" i="71" s="1"/>
  <c r="AE14" i="71" s="1"/>
  <c r="L14" i="71" s="1"/>
  <c r="AE8" i="68"/>
  <c r="K19" i="70"/>
  <c r="K16" i="70" s="1"/>
  <c r="AD14" i="70" s="1"/>
  <c r="K14" i="70" s="1"/>
  <c r="G11" i="106"/>
  <c r="C10" i="106"/>
  <c r="C11" i="106"/>
  <c r="D11" i="106"/>
  <c r="E10" i="106"/>
  <c r="H8" i="114"/>
  <c r="AA7" i="114" s="1"/>
  <c r="S7" i="114" s="1"/>
  <c r="F9" i="114"/>
  <c r="F8" i="114" s="1"/>
  <c r="Y6" i="114" s="1"/>
  <c r="F6" i="114" s="1"/>
  <c r="Y5" i="114" s="1"/>
  <c r="E9" i="114"/>
  <c r="C9" i="114"/>
  <c r="G9" i="114"/>
  <c r="G8" i="114" s="1"/>
  <c r="Z6" i="114" s="1"/>
  <c r="G6" i="114" s="1"/>
  <c r="Z5" i="114" s="1"/>
  <c r="J9" i="114"/>
  <c r="D9" i="114"/>
  <c r="AH11" i="114"/>
  <c r="N11" i="114"/>
  <c r="AG11" i="114" s="1"/>
  <c r="N18" i="74"/>
  <c r="AH18" i="74"/>
  <c r="AG18" i="74"/>
  <c r="C19" i="73"/>
  <c r="C16" i="73" s="1"/>
  <c r="AH20" i="73"/>
  <c r="N20" i="73"/>
  <c r="AH23" i="73"/>
  <c r="N23" i="73"/>
  <c r="AG23" i="73" s="1"/>
  <c r="J23" i="74"/>
  <c r="F23" i="74"/>
  <c r="E23" i="74"/>
  <c r="L23" i="74"/>
  <c r="C23" i="74"/>
  <c r="I23" i="74"/>
  <c r="AH13" i="73"/>
  <c r="K19" i="73"/>
  <c r="K16" i="73" s="1"/>
  <c r="AD14" i="73" s="1"/>
  <c r="K14" i="73" s="1"/>
  <c r="T22" i="74"/>
  <c r="AH24" i="73"/>
  <c r="N24" i="73"/>
  <c r="AG24" i="73" s="1"/>
  <c r="AH21" i="74"/>
  <c r="N21" i="74"/>
  <c r="AG21" i="74" s="1"/>
  <c r="L13" i="74"/>
  <c r="L8" i="74" s="1"/>
  <c r="D13" i="74"/>
  <c r="E13" i="74"/>
  <c r="C13" i="74"/>
  <c r="K13" i="74"/>
  <c r="J13" i="74"/>
  <c r="AG13" i="74"/>
  <c r="F13" i="74"/>
  <c r="AH17" i="74"/>
  <c r="N17" i="74"/>
  <c r="AE11" i="73"/>
  <c r="AE10" i="73"/>
  <c r="AD10" i="73" s="1"/>
  <c r="E19" i="73"/>
  <c r="E16" i="73" s="1"/>
  <c r="X14" i="73" s="1"/>
  <c r="C24" i="74"/>
  <c r="E24" i="74"/>
  <c r="L24" i="74"/>
  <c r="I24" i="74"/>
  <c r="F24" i="74"/>
  <c r="J24" i="74"/>
  <c r="I20" i="74"/>
  <c r="F20" i="74"/>
  <c r="C20" i="74"/>
  <c r="L20" i="74"/>
  <c r="E20" i="74"/>
  <c r="K20" i="74"/>
  <c r="J20" i="74"/>
  <c r="S20" i="74"/>
  <c r="AF19" i="74"/>
  <c r="AF16" i="73"/>
  <c r="S19" i="73"/>
  <c r="I19" i="73"/>
  <c r="I16" i="73" s="1"/>
  <c r="AB15" i="73" s="1"/>
  <c r="S15" i="73" s="1"/>
  <c r="AG17" i="74"/>
  <c r="K23" i="74"/>
  <c r="L13" i="71"/>
  <c r="L8" i="71" s="1"/>
  <c r="AE8" i="71" s="1"/>
  <c r="F13" i="71"/>
  <c r="C13" i="71"/>
  <c r="D13" i="71"/>
  <c r="E13" i="71"/>
  <c r="J13" i="71"/>
  <c r="K13" i="71"/>
  <c r="AG13" i="71"/>
  <c r="AH19" i="72"/>
  <c r="AG17" i="71"/>
  <c r="AH23" i="71"/>
  <c r="N23" i="71"/>
  <c r="AG23" i="71" s="1"/>
  <c r="I19" i="71"/>
  <c r="I16" i="71" s="1"/>
  <c r="AB15" i="71" s="1"/>
  <c r="S15" i="71" s="1"/>
  <c r="N22" i="71"/>
  <c r="AG22" i="71" s="1"/>
  <c r="AH18" i="71"/>
  <c r="N18" i="71"/>
  <c r="AH24" i="71"/>
  <c r="N24" i="71"/>
  <c r="AG24" i="71" s="1"/>
  <c r="AG20" i="72"/>
  <c r="AG19" i="72" s="1"/>
  <c r="AG16" i="72" s="1"/>
  <c r="N19" i="72"/>
  <c r="AF16" i="71"/>
  <c r="S19" i="71"/>
  <c r="K19" i="71"/>
  <c r="K16" i="71" s="1"/>
  <c r="AD14" i="71" s="1"/>
  <c r="K14" i="71" s="1"/>
  <c r="J19" i="71"/>
  <c r="J16" i="71" s="1"/>
  <c r="AH16" i="72"/>
  <c r="E14" i="72"/>
  <c r="N14" i="72" s="1"/>
  <c r="S14" i="72"/>
  <c r="AH13" i="72"/>
  <c r="AH21" i="71"/>
  <c r="N21" i="71"/>
  <c r="AG21" i="71" s="1"/>
  <c r="AH20" i="71"/>
  <c r="N20" i="71"/>
  <c r="C19" i="71"/>
  <c r="C16" i="71" s="1"/>
  <c r="AG18" i="71"/>
  <c r="N17" i="71"/>
  <c r="AH17" i="71"/>
  <c r="AE8" i="72"/>
  <c r="AF25" i="72"/>
  <c r="S16" i="72"/>
  <c r="E19" i="71"/>
  <c r="E16" i="71" s="1"/>
  <c r="X14" i="71" s="1"/>
  <c r="F19" i="71"/>
  <c r="F16" i="71" s="1"/>
  <c r="AH22" i="71"/>
  <c r="N24" i="70"/>
  <c r="AG24" i="70" s="1"/>
  <c r="AH24" i="70"/>
  <c r="N22" i="70"/>
  <c r="AG22" i="70" s="1"/>
  <c r="AH22" i="70"/>
  <c r="N17" i="70"/>
  <c r="AH17" i="70"/>
  <c r="E19" i="70"/>
  <c r="E16" i="70" s="1"/>
  <c r="X14" i="70" s="1"/>
  <c r="N20" i="70"/>
  <c r="C19" i="70"/>
  <c r="C16" i="70" s="1"/>
  <c r="AH20" i="70"/>
  <c r="AH13" i="68"/>
  <c r="N19" i="68"/>
  <c r="AF25" i="70"/>
  <c r="S16" i="70"/>
  <c r="AG17" i="70"/>
  <c r="AH21" i="70"/>
  <c r="N21" i="70"/>
  <c r="AG21" i="70" s="1"/>
  <c r="AH23" i="70"/>
  <c r="N23" i="70"/>
  <c r="AG23" i="70" s="1"/>
  <c r="F19" i="70"/>
  <c r="F16" i="70" s="1"/>
  <c r="I19" i="70"/>
  <c r="I16" i="70" s="1"/>
  <c r="AB15" i="70" s="1"/>
  <c r="S15" i="70" s="1"/>
  <c r="L13" i="70"/>
  <c r="L8" i="70" s="1"/>
  <c r="F13" i="70"/>
  <c r="D13" i="70"/>
  <c r="AG13" i="70"/>
  <c r="K13" i="70"/>
  <c r="C13" i="70"/>
  <c r="E13" i="70"/>
  <c r="J13" i="70"/>
  <c r="J19" i="70"/>
  <c r="J16" i="70" s="1"/>
  <c r="L19" i="70"/>
  <c r="L16" i="70" s="1"/>
  <c r="AE14" i="70" s="1"/>
  <c r="L14" i="70" s="1"/>
  <c r="J10" i="80"/>
  <c r="E10" i="80"/>
  <c r="F10" i="80"/>
  <c r="G10" i="80"/>
  <c r="C10" i="80"/>
  <c r="S9" i="80"/>
  <c r="H9" i="80"/>
  <c r="I9" i="80"/>
  <c r="I8" i="80" s="1"/>
  <c r="AB7" i="80" s="1"/>
  <c r="AH9" i="81"/>
  <c r="E11" i="80"/>
  <c r="F11" i="80"/>
  <c r="J11" i="80"/>
  <c r="C11" i="91"/>
  <c r="D11" i="91"/>
  <c r="F10" i="91"/>
  <c r="S9" i="91"/>
  <c r="I9" i="91"/>
  <c r="I8" i="91" s="1"/>
  <c r="AB7" i="91" s="1"/>
  <c r="H9" i="91"/>
  <c r="G11" i="91"/>
  <c r="C10" i="91"/>
  <c r="D10" i="91"/>
  <c r="F11" i="91"/>
  <c r="G10" i="91"/>
  <c r="E11" i="91"/>
  <c r="J10" i="91"/>
  <c r="S9" i="106"/>
  <c r="H9" i="106"/>
  <c r="H8" i="106" s="1"/>
  <c r="AA7" i="106" s="1"/>
  <c r="I9" i="106"/>
  <c r="I8" i="106" s="1"/>
  <c r="AB7" i="106" s="1"/>
  <c r="D10" i="106"/>
  <c r="N10" i="106" s="1"/>
  <c r="AG10" i="106" s="1"/>
  <c r="E11" i="106"/>
  <c r="AH9" i="122"/>
  <c r="J12" i="122"/>
  <c r="D12" i="122"/>
  <c r="S12" i="122"/>
  <c r="S7" i="128"/>
  <c r="AH11" i="128"/>
  <c r="J9" i="128"/>
  <c r="C9" i="128"/>
  <c r="F9" i="128"/>
  <c r="F8" i="128" s="1"/>
  <c r="Y6" i="128" s="1"/>
  <c r="F6" i="128" s="1"/>
  <c r="Y5" i="128" s="1"/>
  <c r="N11" i="128"/>
  <c r="AG11" i="128" s="1"/>
  <c r="E9" i="128"/>
  <c r="G9" i="128"/>
  <c r="G8" i="128" s="1"/>
  <c r="Z6" i="128" s="1"/>
  <c r="G6" i="128" s="1"/>
  <c r="Z5" i="128" s="1"/>
  <c r="D9" i="128"/>
  <c r="N10" i="128"/>
  <c r="AG10" i="128" s="1"/>
  <c r="AH10" i="128"/>
  <c r="S7" i="149"/>
  <c r="N11" i="149"/>
  <c r="AG11" i="149" s="1"/>
  <c r="AH11" i="149"/>
  <c r="X12" i="148"/>
  <c r="E8" i="148"/>
  <c r="X8" i="148" s="1"/>
  <c r="S8" i="148" s="1"/>
  <c r="J9" i="149"/>
  <c r="D9" i="149"/>
  <c r="E9" i="149"/>
  <c r="AH10" i="149"/>
  <c r="N10" i="149"/>
  <c r="AG10" i="149" s="1"/>
  <c r="C9" i="149"/>
  <c r="G9" i="149"/>
  <c r="G8" i="149" s="1"/>
  <c r="Z6" i="149" s="1"/>
  <c r="G6" i="149" s="1"/>
  <c r="Z5" i="149" s="1"/>
  <c r="N9" i="148"/>
  <c r="AG9" i="148" s="1"/>
  <c r="C8" i="148"/>
  <c r="AH9" i="148"/>
  <c r="F9" i="149"/>
  <c r="F8" i="149" s="1"/>
  <c r="Y6" i="149" s="1"/>
  <c r="F6" i="149" s="1"/>
  <c r="Y5" i="149" s="1"/>
  <c r="V6" i="138"/>
  <c r="N9" i="138"/>
  <c r="AG9" i="138" s="1"/>
  <c r="AH9" i="138"/>
  <c r="AH9" i="90"/>
  <c r="J12" i="90"/>
  <c r="D12" i="90"/>
  <c r="W6" i="129"/>
  <c r="N8" i="129"/>
  <c r="AG8" i="129" s="1"/>
  <c r="V5" i="129"/>
  <c r="S6" i="121"/>
  <c r="C6" i="121"/>
  <c r="N8" i="121"/>
  <c r="AG8" i="121" s="1"/>
  <c r="N12" i="113"/>
  <c r="AG12" i="113" s="1"/>
  <c r="D8" i="113"/>
  <c r="C6" i="113"/>
  <c r="AH12" i="113"/>
  <c r="AH8" i="113" s="1"/>
  <c r="H1" i="112" s="1"/>
  <c r="J8" i="113"/>
  <c r="AC6" i="113" s="1"/>
  <c r="J6" i="113" s="1"/>
  <c r="AC5" i="113" s="1"/>
  <c r="AH12" i="105"/>
  <c r="AH8" i="105" s="1"/>
  <c r="H1" i="104" s="1"/>
  <c r="J8" i="105"/>
  <c r="AC6" i="105" s="1"/>
  <c r="J6" i="105" s="1"/>
  <c r="AC5" i="105" s="1"/>
  <c r="C6" i="105"/>
  <c r="N12" i="105"/>
  <c r="AG12" i="105" s="1"/>
  <c r="D8" i="105"/>
  <c r="S12" i="90"/>
  <c r="V6" i="89"/>
  <c r="N9" i="81"/>
  <c r="AG9" i="81" s="1"/>
  <c r="J12" i="81"/>
  <c r="D12" i="81"/>
  <c r="S12" i="81"/>
  <c r="V6" i="81"/>
  <c r="K16" i="68"/>
  <c r="AD14" i="68" s="1"/>
  <c r="K14" i="68" s="1"/>
  <c r="E16" i="68"/>
  <c r="X14" i="68" s="1"/>
  <c r="S17" i="68"/>
  <c r="AG17" i="68" s="1"/>
  <c r="S22" i="68"/>
  <c r="AF19" i="68"/>
  <c r="AG22" i="68"/>
  <c r="C19" i="68"/>
  <c r="C16" i="68" s="1"/>
  <c r="AH22" i="68"/>
  <c r="AH17" i="68"/>
  <c r="AH24" i="68"/>
  <c r="S24" i="68"/>
  <c r="AG24" i="68"/>
  <c r="AE10" i="68"/>
  <c r="AD10" i="68" s="1"/>
  <c r="S10" i="68" s="1"/>
  <c r="AE11" i="68"/>
  <c r="S11" i="68" s="1"/>
  <c r="AE8" i="70" l="1"/>
  <c r="J12" i="138"/>
  <c r="D12" i="138"/>
  <c r="D12" i="89"/>
  <c r="N12" i="89" s="1"/>
  <c r="S12" i="89"/>
  <c r="AH11" i="106"/>
  <c r="E9" i="80"/>
  <c r="D8" i="137"/>
  <c r="N12" i="137"/>
  <c r="AG12" i="137" s="1"/>
  <c r="AH12" i="137"/>
  <c r="AH8" i="137" s="1"/>
  <c r="H1" i="136" s="1"/>
  <c r="J8" i="137"/>
  <c r="AC6" i="137" s="1"/>
  <c r="J6" i="137" s="1"/>
  <c r="AC5" i="137" s="1"/>
  <c r="AH19" i="70"/>
  <c r="AH16" i="70" s="1"/>
  <c r="AH11" i="80"/>
  <c r="J9" i="106"/>
  <c r="N11" i="106"/>
  <c r="AG11" i="106" s="1"/>
  <c r="AH10" i="106"/>
  <c r="C9" i="106"/>
  <c r="C8" i="114"/>
  <c r="V6" i="114" s="1"/>
  <c r="C6" i="114" s="1"/>
  <c r="V5" i="114" s="1"/>
  <c r="AH9" i="114"/>
  <c r="N9" i="114"/>
  <c r="AG9" i="114" s="1"/>
  <c r="E8" i="114"/>
  <c r="X8" i="114" s="1"/>
  <c r="S8" i="114" s="1"/>
  <c r="X12" i="114"/>
  <c r="S14" i="73"/>
  <c r="E14" i="73"/>
  <c r="N14" i="73" s="1"/>
  <c r="AH19" i="73"/>
  <c r="AH16" i="73" s="1"/>
  <c r="S19" i="74"/>
  <c r="AF16" i="74"/>
  <c r="S10" i="73"/>
  <c r="I10" i="73"/>
  <c r="E10" i="73" s="1"/>
  <c r="AH13" i="74"/>
  <c r="I22" i="74"/>
  <c r="I19" i="74" s="1"/>
  <c r="I16" i="74" s="1"/>
  <c r="AB15" i="74" s="1"/>
  <c r="S15" i="74" s="1"/>
  <c r="J22" i="74"/>
  <c r="J19" i="74" s="1"/>
  <c r="J16" i="74" s="1"/>
  <c r="C22" i="74"/>
  <c r="E22" i="74"/>
  <c r="L22" i="74"/>
  <c r="L19" i="74" s="1"/>
  <c r="L16" i="74" s="1"/>
  <c r="AE14" i="74" s="1"/>
  <c r="L14" i="74" s="1"/>
  <c r="AE8" i="74" s="1"/>
  <c r="F22" i="74"/>
  <c r="F19" i="74" s="1"/>
  <c r="F16" i="74" s="1"/>
  <c r="AH23" i="74"/>
  <c r="N23" i="74"/>
  <c r="AG23" i="74" s="1"/>
  <c r="AH20" i="74"/>
  <c r="N20" i="74"/>
  <c r="C19" i="74"/>
  <c r="C16" i="74" s="1"/>
  <c r="N24" i="74"/>
  <c r="AG24" i="74" s="1"/>
  <c r="AH24" i="74"/>
  <c r="N19" i="73"/>
  <c r="AG20" i="73"/>
  <c r="AG19" i="73" s="1"/>
  <c r="AG16" i="73" s="1"/>
  <c r="S16" i="73"/>
  <c r="AF25" i="73"/>
  <c r="S11" i="73"/>
  <c r="I11" i="73"/>
  <c r="F11" i="73" s="1"/>
  <c r="K11" i="73"/>
  <c r="K8" i="73" s="1"/>
  <c r="AD8" i="73" s="1"/>
  <c r="AD9" i="73" s="1"/>
  <c r="J11" i="73"/>
  <c r="G11" i="73"/>
  <c r="K22" i="74"/>
  <c r="K19" i="74" s="1"/>
  <c r="K16" i="74" s="1"/>
  <c r="AD14" i="74" s="1"/>
  <c r="K14" i="74" s="1"/>
  <c r="E14" i="71"/>
  <c r="N14" i="71" s="1"/>
  <c r="S14" i="71"/>
  <c r="AE10" i="71"/>
  <c r="AD10" i="71" s="1"/>
  <c r="AE11" i="71"/>
  <c r="AF25" i="71"/>
  <c r="S16" i="71"/>
  <c r="S25" i="72"/>
  <c r="AG25" i="72" s="1"/>
  <c r="T25" i="72"/>
  <c r="AH19" i="71"/>
  <c r="AH16" i="71" s="1"/>
  <c r="N19" i="71"/>
  <c r="AG20" i="71"/>
  <c r="AG19" i="71" s="1"/>
  <c r="AG16" i="71" s="1"/>
  <c r="AH13" i="71"/>
  <c r="AE11" i="72"/>
  <c r="AE10" i="72"/>
  <c r="AD10" i="72" s="1"/>
  <c r="AG14" i="72"/>
  <c r="E14" i="70"/>
  <c r="N14" i="70" s="1"/>
  <c r="S14" i="70"/>
  <c r="T25" i="70"/>
  <c r="S25" i="70"/>
  <c r="AG25" i="70" s="1"/>
  <c r="AE11" i="70"/>
  <c r="AE10" i="70"/>
  <c r="AD10" i="70" s="1"/>
  <c r="AH13" i="70"/>
  <c r="N19" i="70"/>
  <c r="AG20" i="70"/>
  <c r="AG19" i="70" s="1"/>
  <c r="AG16" i="70" s="1"/>
  <c r="E8" i="80"/>
  <c r="X8" i="80" s="1"/>
  <c r="S8" i="80" s="1"/>
  <c r="X12" i="80"/>
  <c r="S12" i="80" s="1"/>
  <c r="D9" i="80"/>
  <c r="AH10" i="80"/>
  <c r="N10" i="80"/>
  <c r="AG10" i="80" s="1"/>
  <c r="H8" i="80"/>
  <c r="AA7" i="80" s="1"/>
  <c r="S7" i="80" s="1"/>
  <c r="F9" i="80"/>
  <c r="F8" i="80" s="1"/>
  <c r="Y6" i="80" s="1"/>
  <c r="F6" i="80" s="1"/>
  <c r="Y5" i="80" s="1"/>
  <c r="G9" i="80"/>
  <c r="G8" i="80" s="1"/>
  <c r="Z6" i="80" s="1"/>
  <c r="G6" i="80" s="1"/>
  <c r="Z5" i="80" s="1"/>
  <c r="J9" i="80"/>
  <c r="C9" i="80"/>
  <c r="N11" i="80"/>
  <c r="AG11" i="80" s="1"/>
  <c r="N10" i="91"/>
  <c r="AG10" i="91" s="1"/>
  <c r="AH10" i="91"/>
  <c r="H8" i="91"/>
  <c r="AA7" i="91" s="1"/>
  <c r="S7" i="91" s="1"/>
  <c r="C9" i="91"/>
  <c r="G9" i="91"/>
  <c r="G8" i="91" s="1"/>
  <c r="Z6" i="91" s="1"/>
  <c r="G6" i="91" s="1"/>
  <c r="Z5" i="91" s="1"/>
  <c r="E9" i="91"/>
  <c r="F9" i="91"/>
  <c r="F8" i="91" s="1"/>
  <c r="Y6" i="91" s="1"/>
  <c r="F6" i="91" s="1"/>
  <c r="Y5" i="91" s="1"/>
  <c r="D9" i="91"/>
  <c r="J9" i="91"/>
  <c r="AH11" i="91"/>
  <c r="N11" i="91"/>
  <c r="AG11" i="91" s="1"/>
  <c r="C8" i="106"/>
  <c r="V6" i="106" s="1"/>
  <c r="C6" i="106" s="1"/>
  <c r="F9" i="106"/>
  <c r="F8" i="106" s="1"/>
  <c r="Y6" i="106" s="1"/>
  <c r="F6" i="106" s="1"/>
  <c r="Y5" i="106" s="1"/>
  <c r="D9" i="106"/>
  <c r="E9" i="106"/>
  <c r="G9" i="106"/>
  <c r="G8" i="106" s="1"/>
  <c r="Z6" i="106" s="1"/>
  <c r="G6" i="106" s="1"/>
  <c r="Z5" i="106" s="1"/>
  <c r="S7" i="106"/>
  <c r="N12" i="122"/>
  <c r="AG12" i="122" s="1"/>
  <c r="D8" i="122"/>
  <c r="J8" i="122"/>
  <c r="AC6" i="122" s="1"/>
  <c r="J6" i="122" s="1"/>
  <c r="AC5" i="122" s="1"/>
  <c r="AH12" i="122"/>
  <c r="AH8" i="122" s="1"/>
  <c r="I1" i="120" s="1"/>
  <c r="C8" i="128"/>
  <c r="N9" i="128"/>
  <c r="AG9" i="128" s="1"/>
  <c r="AH9" i="128"/>
  <c r="E8" i="128"/>
  <c r="X8" i="128" s="1"/>
  <c r="S8" i="128" s="1"/>
  <c r="X12" i="128"/>
  <c r="J12" i="148"/>
  <c r="D12" i="148"/>
  <c r="S12" i="148"/>
  <c r="AH9" i="149"/>
  <c r="N9" i="149"/>
  <c r="AG9" i="149" s="1"/>
  <c r="C8" i="149"/>
  <c r="V6" i="148"/>
  <c r="X12" i="149"/>
  <c r="E8" i="149"/>
  <c r="X8" i="149" s="1"/>
  <c r="S8" i="149" s="1"/>
  <c r="C6" i="138"/>
  <c r="AH12" i="138"/>
  <c r="AH8" i="138" s="1"/>
  <c r="I1" i="136" s="1"/>
  <c r="J8" i="138"/>
  <c r="AC6" i="138" s="1"/>
  <c r="J6" i="138" s="1"/>
  <c r="AC5" i="138" s="1"/>
  <c r="N12" i="138"/>
  <c r="AG12" i="138" s="1"/>
  <c r="D8" i="138"/>
  <c r="D6" i="129"/>
  <c r="S6" i="129"/>
  <c r="V5" i="121"/>
  <c r="S5" i="121" s="1"/>
  <c r="N6" i="121"/>
  <c r="AG6" i="121" s="1"/>
  <c r="W6" i="113"/>
  <c r="N8" i="113"/>
  <c r="AG8" i="113" s="1"/>
  <c r="V5" i="113"/>
  <c r="V5" i="106"/>
  <c r="V5" i="105"/>
  <c r="W6" i="105"/>
  <c r="N8" i="105"/>
  <c r="AG8" i="105" s="1"/>
  <c r="N12" i="90"/>
  <c r="AG12" i="90" s="1"/>
  <c r="D8" i="90"/>
  <c r="C6" i="90"/>
  <c r="AH12" i="90"/>
  <c r="AH8" i="90" s="1"/>
  <c r="I1" i="144" s="1"/>
  <c r="J8" i="90"/>
  <c r="AC6" i="90" s="1"/>
  <c r="J6" i="90" s="1"/>
  <c r="AC5" i="90" s="1"/>
  <c r="AH12" i="89"/>
  <c r="AH8" i="89" s="1"/>
  <c r="H1" i="144" s="1"/>
  <c r="J8" i="89"/>
  <c r="AC6" i="89" s="1"/>
  <c r="J6" i="89" s="1"/>
  <c r="AC5" i="89" s="1"/>
  <c r="C6" i="89"/>
  <c r="J12" i="80"/>
  <c r="J8" i="80" s="1"/>
  <c r="AC6" i="80" s="1"/>
  <c r="J6" i="80" s="1"/>
  <c r="AC5" i="80" s="1"/>
  <c r="N12" i="81"/>
  <c r="AG12" i="81" s="1"/>
  <c r="D8" i="81"/>
  <c r="C6" i="81"/>
  <c r="AH12" i="81"/>
  <c r="AH8" i="81" s="1"/>
  <c r="H1" i="82" s="1"/>
  <c r="J8" i="81"/>
  <c r="AC6" i="81" s="1"/>
  <c r="J6" i="81" s="1"/>
  <c r="AC5" i="81" s="1"/>
  <c r="AH19" i="68"/>
  <c r="AH16" i="68" s="1"/>
  <c r="AG19" i="68"/>
  <c r="AG16" i="68" s="1"/>
  <c r="AF16" i="68"/>
  <c r="S19" i="68"/>
  <c r="S14" i="68"/>
  <c r="E14" i="68"/>
  <c r="N14" i="68" s="1"/>
  <c r="I11" i="68"/>
  <c r="G11" i="68" s="1"/>
  <c r="K11" i="68"/>
  <c r="K8" i="68" s="1"/>
  <c r="AD8" i="68" s="1"/>
  <c r="AD9" i="68" s="1"/>
  <c r="I10" i="68"/>
  <c r="F10" i="68" s="1"/>
  <c r="D8" i="89" l="1"/>
  <c r="D41" i="150"/>
  <c r="D42" i="150" s="1"/>
  <c r="J45" i="150" s="1"/>
  <c r="D4" i="150"/>
  <c r="C41" i="150"/>
  <c r="C42" i="150" s="1"/>
  <c r="F45" i="150" s="1"/>
  <c r="C45" i="150" s="1"/>
  <c r="D45" i="150" s="1"/>
  <c r="E45" i="150" s="1"/>
  <c r="C4" i="150"/>
  <c r="AG12" i="89"/>
  <c r="F10" i="73"/>
  <c r="W6" i="137"/>
  <c r="N8" i="137"/>
  <c r="AG8" i="137" s="1"/>
  <c r="D11" i="73"/>
  <c r="C10" i="73"/>
  <c r="G10" i="73"/>
  <c r="C11" i="73"/>
  <c r="E11" i="73"/>
  <c r="D10" i="73"/>
  <c r="AG14" i="71"/>
  <c r="D12" i="80"/>
  <c r="N12" i="80" s="1"/>
  <c r="AG12" i="80" s="1"/>
  <c r="S12" i="114"/>
  <c r="J12" i="114"/>
  <c r="D12" i="114"/>
  <c r="AE11" i="74"/>
  <c r="AE10" i="74"/>
  <c r="AD10" i="74" s="1"/>
  <c r="AG20" i="74"/>
  <c r="S9" i="73"/>
  <c r="I9" i="73"/>
  <c r="I8" i="73" s="1"/>
  <c r="AB7" i="73" s="1"/>
  <c r="H9" i="73"/>
  <c r="H8" i="73" s="1"/>
  <c r="AA7" i="73" s="1"/>
  <c r="S25" i="73"/>
  <c r="AG25" i="73" s="1"/>
  <c r="T25" i="73"/>
  <c r="N22" i="74"/>
  <c r="AG22" i="74" s="1"/>
  <c r="J10" i="73"/>
  <c r="AG14" i="73"/>
  <c r="E19" i="74"/>
  <c r="E16" i="74" s="1"/>
  <c r="X14" i="74" s="1"/>
  <c r="AH22" i="74"/>
  <c r="AH19" i="74" s="1"/>
  <c r="AH16" i="74" s="1"/>
  <c r="AF25" i="74"/>
  <c r="S16" i="74"/>
  <c r="I10" i="71"/>
  <c r="F10" i="71" s="1"/>
  <c r="S10" i="71"/>
  <c r="S10" i="72"/>
  <c r="I10" i="72"/>
  <c r="J10" i="72" s="1"/>
  <c r="S11" i="71"/>
  <c r="I11" i="71"/>
  <c r="J11" i="71" s="1"/>
  <c r="K11" i="71"/>
  <c r="K8" i="71" s="1"/>
  <c r="AD8" i="71" s="1"/>
  <c r="AD9" i="71" s="1"/>
  <c r="S11" i="72"/>
  <c r="K11" i="72"/>
  <c r="K8" i="72" s="1"/>
  <c r="AD8" i="72" s="1"/>
  <c r="AD9" i="72" s="1"/>
  <c r="I11" i="72"/>
  <c r="G11" i="72" s="1"/>
  <c r="S25" i="71"/>
  <c r="AG25" i="71" s="1"/>
  <c r="T25" i="71"/>
  <c r="I10" i="70"/>
  <c r="S10" i="70"/>
  <c r="K11" i="70"/>
  <c r="K8" i="70" s="1"/>
  <c r="AD8" i="70" s="1"/>
  <c r="AD9" i="70" s="1"/>
  <c r="I11" i="70"/>
  <c r="S11" i="70"/>
  <c r="AG14" i="70"/>
  <c r="N9" i="80"/>
  <c r="AG9" i="80" s="1"/>
  <c r="C8" i="80"/>
  <c r="V6" i="80" s="1"/>
  <c r="C6" i="80" s="1"/>
  <c r="AH9" i="80"/>
  <c r="AH12" i="80"/>
  <c r="AH9" i="91"/>
  <c r="N9" i="91"/>
  <c r="AG9" i="91" s="1"/>
  <c r="C8" i="91"/>
  <c r="V6" i="91" s="1"/>
  <c r="C6" i="91" s="1"/>
  <c r="V5" i="91" s="1"/>
  <c r="X12" i="91"/>
  <c r="E8" i="91"/>
  <c r="X8" i="91" s="1"/>
  <c r="S8" i="91" s="1"/>
  <c r="N9" i="106"/>
  <c r="AG9" i="106" s="1"/>
  <c r="X12" i="106"/>
  <c r="E8" i="106"/>
  <c r="X8" i="106" s="1"/>
  <c r="S8" i="106" s="1"/>
  <c r="AH9" i="106"/>
  <c r="W6" i="122"/>
  <c r="N8" i="122"/>
  <c r="AG8" i="122" s="1"/>
  <c r="J12" i="128"/>
  <c r="S12" i="128"/>
  <c r="D12" i="128"/>
  <c r="V6" i="128"/>
  <c r="C6" i="148"/>
  <c r="J12" i="149"/>
  <c r="S12" i="149"/>
  <c r="D12" i="149"/>
  <c r="V6" i="149"/>
  <c r="N12" i="148"/>
  <c r="AG12" i="148" s="1"/>
  <c r="D8" i="148"/>
  <c r="AH12" i="148"/>
  <c r="AH8" i="148" s="1"/>
  <c r="H1" i="88" s="1"/>
  <c r="C4" i="151" s="1"/>
  <c r="J8" i="148"/>
  <c r="AC6" i="148" s="1"/>
  <c r="J6" i="148" s="1"/>
  <c r="AC5" i="148" s="1"/>
  <c r="W6" i="138"/>
  <c r="N8" i="138"/>
  <c r="AG8" i="138" s="1"/>
  <c r="V5" i="138"/>
  <c r="W5" i="129"/>
  <c r="S5" i="129" s="1"/>
  <c r="N6" i="129"/>
  <c r="AG6" i="129" s="1"/>
  <c r="D6" i="113"/>
  <c r="S6" i="113"/>
  <c r="D6" i="105"/>
  <c r="S6" i="105"/>
  <c r="W6" i="90"/>
  <c r="N8" i="90"/>
  <c r="AG8" i="90" s="1"/>
  <c r="V5" i="90"/>
  <c r="W6" i="89"/>
  <c r="N8" i="89"/>
  <c r="AG8" i="89" s="1"/>
  <c r="V5" i="89"/>
  <c r="W6" i="81"/>
  <c r="N8" i="81"/>
  <c r="AG8" i="81" s="1"/>
  <c r="V5" i="81"/>
  <c r="V5" i="80"/>
  <c r="AG14" i="68"/>
  <c r="C10" i="68"/>
  <c r="D10" i="68"/>
  <c r="J10" i="68"/>
  <c r="G10" i="68"/>
  <c r="F11" i="68"/>
  <c r="J11" i="68"/>
  <c r="E11" i="68"/>
  <c r="AF25" i="68"/>
  <c r="S16" i="68"/>
  <c r="H9" i="68"/>
  <c r="H8" i="68" s="1"/>
  <c r="AA7" i="68" s="1"/>
  <c r="I9" i="68"/>
  <c r="I8" i="68" s="1"/>
  <c r="AB7" i="68" s="1"/>
  <c r="S9" i="68"/>
  <c r="D11" i="68"/>
  <c r="C11" i="68"/>
  <c r="E10" i="68"/>
  <c r="E27" i="35"/>
  <c r="E26" i="35"/>
  <c r="E25" i="35"/>
  <c r="E24" i="35"/>
  <c r="E23" i="35"/>
  <c r="E22" i="35"/>
  <c r="F4" i="150" l="1"/>
  <c r="F41" i="150" s="1"/>
  <c r="F42" i="150" s="1"/>
  <c r="E4" i="150"/>
  <c r="E41" i="150" s="1"/>
  <c r="E42" i="150" s="1"/>
  <c r="J42" i="151"/>
  <c r="J55" i="150"/>
  <c r="F55" i="150"/>
  <c r="G45" i="150"/>
  <c r="D8" i="150"/>
  <c r="C8" i="150"/>
  <c r="C10" i="72"/>
  <c r="G9" i="73"/>
  <c r="G8" i="73" s="1"/>
  <c r="Z6" i="73" s="1"/>
  <c r="G6" i="73" s="1"/>
  <c r="Z5" i="73" s="1"/>
  <c r="AG19" i="74"/>
  <c r="AG16" i="74" s="1"/>
  <c r="AH10" i="73"/>
  <c r="N11" i="73"/>
  <c r="AG11" i="73" s="1"/>
  <c r="E9" i="73"/>
  <c r="F9" i="73"/>
  <c r="F8" i="73" s="1"/>
  <c r="Y6" i="73" s="1"/>
  <c r="F6" i="73" s="1"/>
  <c r="Y5" i="73" s="1"/>
  <c r="J10" i="71"/>
  <c r="N10" i="73"/>
  <c r="AG10" i="73" s="1"/>
  <c r="AH8" i="80"/>
  <c r="I1" i="82" s="1"/>
  <c r="S6" i="137"/>
  <c r="D6" i="137"/>
  <c r="N19" i="74"/>
  <c r="AH11" i="73"/>
  <c r="J11" i="72"/>
  <c r="F10" i="72"/>
  <c r="E10" i="71"/>
  <c r="C10" i="71"/>
  <c r="G11" i="71"/>
  <c r="D10" i="72"/>
  <c r="D10" i="71"/>
  <c r="G10" i="71"/>
  <c r="D8" i="80"/>
  <c r="N12" i="114"/>
  <c r="D8" i="114"/>
  <c r="AH12" i="114"/>
  <c r="AH8" i="114" s="1"/>
  <c r="I1" i="112" s="1"/>
  <c r="J8" i="114"/>
  <c r="AC6" i="114" s="1"/>
  <c r="J6" i="114" s="1"/>
  <c r="AC5" i="114" s="1"/>
  <c r="AG12" i="114"/>
  <c r="E8" i="73"/>
  <c r="X8" i="73" s="1"/>
  <c r="S8" i="73" s="1"/>
  <c r="X12" i="73"/>
  <c r="T25" i="74"/>
  <c r="S25" i="74"/>
  <c r="AG25" i="74" s="1"/>
  <c r="C9" i="73"/>
  <c r="S7" i="73"/>
  <c r="S10" i="74"/>
  <c r="I10" i="74"/>
  <c r="E10" i="74" s="1"/>
  <c r="E14" i="74"/>
  <c r="N14" i="74" s="1"/>
  <c r="S14" i="74"/>
  <c r="J9" i="73"/>
  <c r="D9" i="73"/>
  <c r="S11" i="74"/>
  <c r="K11" i="74"/>
  <c r="K8" i="74" s="1"/>
  <c r="AD8" i="74" s="1"/>
  <c r="AD9" i="74" s="1"/>
  <c r="I11" i="74"/>
  <c r="G11" i="74" s="1"/>
  <c r="S9" i="71"/>
  <c r="I9" i="71"/>
  <c r="I8" i="71" s="1"/>
  <c r="AB7" i="71" s="1"/>
  <c r="H9" i="71"/>
  <c r="H8" i="71" s="1"/>
  <c r="AA7" i="71" s="1"/>
  <c r="F11" i="72"/>
  <c r="S9" i="72"/>
  <c r="H9" i="72"/>
  <c r="H8" i="72" s="1"/>
  <c r="AA7" i="72" s="1"/>
  <c r="I9" i="72"/>
  <c r="I8" i="72" s="1"/>
  <c r="AB7" i="72" s="1"/>
  <c r="F11" i="71"/>
  <c r="D11" i="71"/>
  <c r="G10" i="72"/>
  <c r="E10" i="72"/>
  <c r="D11" i="72"/>
  <c r="E11" i="72"/>
  <c r="E11" i="71"/>
  <c r="C11" i="72"/>
  <c r="C11" i="71"/>
  <c r="D11" i="70"/>
  <c r="E11" i="70"/>
  <c r="G11" i="70"/>
  <c r="C11" i="70"/>
  <c r="J11" i="70"/>
  <c r="F11" i="70"/>
  <c r="S9" i="70"/>
  <c r="H9" i="70"/>
  <c r="I9" i="70"/>
  <c r="I8" i="70" s="1"/>
  <c r="AB7" i="70" s="1"/>
  <c r="F10" i="70"/>
  <c r="D10" i="70"/>
  <c r="G10" i="70"/>
  <c r="J10" i="70"/>
  <c r="E10" i="70"/>
  <c r="C10" i="70"/>
  <c r="D12" i="91"/>
  <c r="S12" i="91"/>
  <c r="J12" i="91"/>
  <c r="S12" i="106"/>
  <c r="J12" i="106"/>
  <c r="D12" i="106"/>
  <c r="S6" i="122"/>
  <c r="D6" i="122"/>
  <c r="C6" i="128"/>
  <c r="N12" i="128"/>
  <c r="AG12" i="128" s="1"/>
  <c r="D8" i="128"/>
  <c r="AH12" i="128"/>
  <c r="AH8" i="128" s="1"/>
  <c r="I1" i="130" s="1"/>
  <c r="J8" i="128"/>
  <c r="AC6" i="128" s="1"/>
  <c r="J6" i="128" s="1"/>
  <c r="AC5" i="128" s="1"/>
  <c r="H2" i="136"/>
  <c r="H2" i="88"/>
  <c r="W6" i="148"/>
  <c r="N8" i="148"/>
  <c r="AG8" i="148" s="1"/>
  <c r="C6" i="149"/>
  <c r="AH12" i="149"/>
  <c r="AH8" i="149" s="1"/>
  <c r="I1" i="88" s="1"/>
  <c r="D4" i="151" s="1"/>
  <c r="J8" i="149"/>
  <c r="AC6" i="149" s="1"/>
  <c r="J6" i="149" s="1"/>
  <c r="AC5" i="149" s="1"/>
  <c r="N12" i="149"/>
  <c r="AG12" i="149" s="1"/>
  <c r="D8" i="149"/>
  <c r="V5" i="148"/>
  <c r="D6" i="138"/>
  <c r="S6" i="138"/>
  <c r="W5" i="113"/>
  <c r="S5" i="113" s="1"/>
  <c r="N6" i="113"/>
  <c r="AG6" i="113" s="1"/>
  <c r="W5" i="105"/>
  <c r="S5" i="105" s="1"/>
  <c r="N6" i="105"/>
  <c r="AG6" i="105" s="1"/>
  <c r="D6" i="90"/>
  <c r="S6" i="90"/>
  <c r="D6" i="89"/>
  <c r="S6" i="89"/>
  <c r="D6" i="81"/>
  <c r="S6" i="81"/>
  <c r="N11" i="68"/>
  <c r="AG11" i="68" s="1"/>
  <c r="N10" i="68"/>
  <c r="AG10" i="68" s="1"/>
  <c r="AH10" i="68"/>
  <c r="S7" i="68"/>
  <c r="AH11" i="68"/>
  <c r="S25" i="68"/>
  <c r="AG25" i="68" s="1"/>
  <c r="T25" i="68"/>
  <c r="E9" i="68"/>
  <c r="X12" i="68" s="1"/>
  <c r="F9" i="68"/>
  <c r="F8" i="68" s="1"/>
  <c r="Y6" i="68" s="1"/>
  <c r="F6" i="68" s="1"/>
  <c r="Y5" i="68" s="1"/>
  <c r="J9" i="68"/>
  <c r="C9" i="68"/>
  <c r="D9" i="68"/>
  <c r="G9" i="68"/>
  <c r="G8" i="68" s="1"/>
  <c r="Z6" i="68" s="1"/>
  <c r="G6" i="68" s="1"/>
  <c r="Z5" i="68" s="1"/>
  <c r="E12" i="35"/>
  <c r="E20" i="35"/>
  <c r="O45" i="150" l="1"/>
  <c r="E8" i="150"/>
  <c r="T45" i="150"/>
  <c r="T55" i="150" s="1"/>
  <c r="F8" i="150"/>
  <c r="F4" i="151"/>
  <c r="E4" i="151"/>
  <c r="L42" i="151" s="1"/>
  <c r="K42" i="151"/>
  <c r="C42" i="151"/>
  <c r="J43" i="151"/>
  <c r="C55" i="150"/>
  <c r="C56" i="150" s="1"/>
  <c r="G55" i="150"/>
  <c r="H45" i="150"/>
  <c r="E11" i="74"/>
  <c r="AH10" i="72"/>
  <c r="D11" i="74"/>
  <c r="AH10" i="71"/>
  <c r="G9" i="72"/>
  <c r="G8" i="72" s="1"/>
  <c r="Z6" i="72" s="1"/>
  <c r="G6" i="72" s="1"/>
  <c r="Z5" i="72" s="1"/>
  <c r="C11" i="74"/>
  <c r="F11" i="74"/>
  <c r="W5" i="137"/>
  <c r="S5" i="137" s="1"/>
  <c r="N6" i="137"/>
  <c r="AG6" i="137" s="1"/>
  <c r="C10" i="74"/>
  <c r="D9" i="72"/>
  <c r="N10" i="71"/>
  <c r="AG10" i="71" s="1"/>
  <c r="C9" i="72"/>
  <c r="W6" i="80"/>
  <c r="N8" i="80"/>
  <c r="AG8" i="80" s="1"/>
  <c r="N8" i="114"/>
  <c r="AG8" i="114" s="1"/>
  <c r="W6" i="114"/>
  <c r="N9" i="73"/>
  <c r="AG9" i="73" s="1"/>
  <c r="G10" i="74"/>
  <c r="J11" i="74"/>
  <c r="AG14" i="74"/>
  <c r="J10" i="74"/>
  <c r="J12" i="73"/>
  <c r="AH12" i="73" s="1"/>
  <c r="D12" i="73"/>
  <c r="S12" i="73"/>
  <c r="I9" i="74"/>
  <c r="I8" i="74" s="1"/>
  <c r="AB7" i="74" s="1"/>
  <c r="H9" i="74"/>
  <c r="H8" i="74" s="1"/>
  <c r="AA7" i="74" s="1"/>
  <c r="S9" i="74"/>
  <c r="F10" i="74"/>
  <c r="D10" i="74"/>
  <c r="C8" i="73"/>
  <c r="AH9" i="73"/>
  <c r="AH11" i="72"/>
  <c r="N11" i="72"/>
  <c r="AG11" i="72" s="1"/>
  <c r="G9" i="71"/>
  <c r="G8" i="71" s="1"/>
  <c r="Z6" i="71" s="1"/>
  <c r="G6" i="71" s="1"/>
  <c r="Z5" i="71" s="1"/>
  <c r="N10" i="72"/>
  <c r="AG10" i="72" s="1"/>
  <c r="F9" i="72"/>
  <c r="F8" i="72" s="1"/>
  <c r="Y6" i="72" s="1"/>
  <c r="F6" i="72" s="1"/>
  <c r="Y5" i="72" s="1"/>
  <c r="S7" i="72"/>
  <c r="E9" i="71"/>
  <c r="D9" i="71"/>
  <c r="N11" i="71"/>
  <c r="AG11" i="71" s="1"/>
  <c r="AH11" i="71"/>
  <c r="C8" i="72"/>
  <c r="C9" i="71"/>
  <c r="J9" i="72"/>
  <c r="E9" i="72"/>
  <c r="S7" i="71"/>
  <c r="F9" i="71"/>
  <c r="F8" i="71" s="1"/>
  <c r="Y6" i="71" s="1"/>
  <c r="F6" i="71" s="1"/>
  <c r="Y5" i="71" s="1"/>
  <c r="J9" i="71"/>
  <c r="H8" i="70"/>
  <c r="AA7" i="70" s="1"/>
  <c r="S7" i="70" s="1"/>
  <c r="G9" i="70"/>
  <c r="G8" i="70" s="1"/>
  <c r="Z6" i="70" s="1"/>
  <c r="G6" i="70" s="1"/>
  <c r="Z5" i="70" s="1"/>
  <c r="E9" i="70"/>
  <c r="F9" i="70"/>
  <c r="F8" i="70" s="1"/>
  <c r="Y6" i="70" s="1"/>
  <c r="F6" i="70" s="1"/>
  <c r="Y5" i="70" s="1"/>
  <c r="C9" i="70"/>
  <c r="D9" i="70"/>
  <c r="J9" i="70"/>
  <c r="N11" i="70"/>
  <c r="AG11" i="70" s="1"/>
  <c r="AH11" i="70"/>
  <c r="AH10" i="70"/>
  <c r="N10" i="70"/>
  <c r="AG10" i="70" s="1"/>
  <c r="J8" i="91"/>
  <c r="AC6" i="91" s="1"/>
  <c r="J6" i="91" s="1"/>
  <c r="AC5" i="91" s="1"/>
  <c r="AH12" i="91"/>
  <c r="AH8" i="91" s="1"/>
  <c r="I1" i="93" s="1"/>
  <c r="D8" i="91"/>
  <c r="N12" i="91"/>
  <c r="AG12" i="91" s="1"/>
  <c r="N12" i="106"/>
  <c r="AG12" i="106" s="1"/>
  <c r="D8" i="106"/>
  <c r="AH12" i="106"/>
  <c r="AH8" i="106" s="1"/>
  <c r="I1" i="104" s="1"/>
  <c r="J8" i="106"/>
  <c r="AC6" i="106" s="1"/>
  <c r="J6" i="106" s="1"/>
  <c r="AC5" i="106" s="1"/>
  <c r="W5" i="122"/>
  <c r="S5" i="122" s="1"/>
  <c r="N6" i="122"/>
  <c r="AG6" i="122" s="1"/>
  <c r="W6" i="128"/>
  <c r="N8" i="128"/>
  <c r="AG8" i="128" s="1"/>
  <c r="V5" i="128"/>
  <c r="I2" i="136"/>
  <c r="I2" i="88"/>
  <c r="V5" i="149"/>
  <c r="D6" i="148"/>
  <c r="S6" i="148"/>
  <c r="W6" i="149"/>
  <c r="N8" i="149"/>
  <c r="AG8" i="149" s="1"/>
  <c r="W5" i="138"/>
  <c r="S5" i="138" s="1"/>
  <c r="N6" i="138"/>
  <c r="AG6" i="138" s="1"/>
  <c r="R16" i="80"/>
  <c r="R16" i="81"/>
  <c r="W5" i="90"/>
  <c r="S5" i="90" s="1"/>
  <c r="N6" i="90"/>
  <c r="AG6" i="90" s="1"/>
  <c r="W5" i="89"/>
  <c r="S5" i="89" s="1"/>
  <c r="N6" i="89"/>
  <c r="AG6" i="89" s="1"/>
  <c r="W5" i="81"/>
  <c r="S5" i="81" s="1"/>
  <c r="N6" i="81"/>
  <c r="AG6" i="81" s="1"/>
  <c r="E8" i="68"/>
  <c r="X8" i="68" s="1"/>
  <c r="S8" i="68" s="1"/>
  <c r="AH9" i="68"/>
  <c r="C8" i="68"/>
  <c r="V6" i="68" s="1"/>
  <c r="N9" i="68"/>
  <c r="AG9" i="68" s="1"/>
  <c r="J12" i="68"/>
  <c r="D12" i="68"/>
  <c r="S12" i="68"/>
  <c r="O55" i="150" l="1"/>
  <c r="P45" i="150"/>
  <c r="K45" i="150"/>
  <c r="C8" i="151"/>
  <c r="C43" i="151"/>
  <c r="F46" i="151" s="1"/>
  <c r="C46" i="151" s="1"/>
  <c r="D46" i="151" s="1"/>
  <c r="D42" i="151"/>
  <c r="K43" i="151"/>
  <c r="L43" i="151"/>
  <c r="E42" i="151"/>
  <c r="M42" i="151"/>
  <c r="F42" i="151" s="1"/>
  <c r="M43" i="151"/>
  <c r="H55" i="150"/>
  <c r="I45" i="150"/>
  <c r="I55" i="150" s="1"/>
  <c r="D55" i="150"/>
  <c r="D56" i="150" s="1"/>
  <c r="E55" i="150"/>
  <c r="H59" i="150"/>
  <c r="S7" i="74"/>
  <c r="C9" i="74"/>
  <c r="N12" i="73"/>
  <c r="AG12" i="73" s="1"/>
  <c r="N11" i="74"/>
  <c r="AG11" i="74" s="1"/>
  <c r="G9" i="74"/>
  <c r="G8" i="74" s="1"/>
  <c r="Z6" i="74" s="1"/>
  <c r="G6" i="74" s="1"/>
  <c r="Z5" i="74" s="1"/>
  <c r="D9" i="74"/>
  <c r="J9" i="74"/>
  <c r="E9" i="74"/>
  <c r="X12" i="74" s="1"/>
  <c r="N10" i="74"/>
  <c r="AG10" i="74" s="1"/>
  <c r="AH9" i="72"/>
  <c r="S6" i="80"/>
  <c r="D6" i="80"/>
  <c r="D6" i="114"/>
  <c r="S6" i="114"/>
  <c r="D8" i="73"/>
  <c r="W6" i="73" s="1"/>
  <c r="D6" i="73" s="1"/>
  <c r="AH10" i="74"/>
  <c r="AH8" i="73"/>
  <c r="H1" i="52" s="1"/>
  <c r="V6" i="73"/>
  <c r="AH11" i="74"/>
  <c r="F9" i="74"/>
  <c r="F8" i="74" s="1"/>
  <c r="Y6" i="74" s="1"/>
  <c r="F6" i="74" s="1"/>
  <c r="Y5" i="74" s="1"/>
  <c r="J8" i="73"/>
  <c r="AC6" i="73" s="1"/>
  <c r="J6" i="73" s="1"/>
  <c r="AC5" i="73" s="1"/>
  <c r="C8" i="74"/>
  <c r="V6" i="72"/>
  <c r="E8" i="71"/>
  <c r="X8" i="71" s="1"/>
  <c r="S8" i="71" s="1"/>
  <c r="X12" i="71"/>
  <c r="N9" i="71"/>
  <c r="AG9" i="71" s="1"/>
  <c r="AH9" i="71"/>
  <c r="C8" i="71"/>
  <c r="X12" i="72"/>
  <c r="E8" i="72"/>
  <c r="X8" i="72" s="1"/>
  <c r="S8" i="72" s="1"/>
  <c r="N9" i="72"/>
  <c r="AG9" i="72" s="1"/>
  <c r="X12" i="70"/>
  <c r="E8" i="70"/>
  <c r="X8" i="70" s="1"/>
  <c r="S8" i="70" s="1"/>
  <c r="AH9" i="70"/>
  <c r="C8" i="70"/>
  <c r="V6" i="70" s="1"/>
  <c r="C6" i="70" s="1"/>
  <c r="V5" i="70" s="1"/>
  <c r="N9" i="70"/>
  <c r="AG9" i="70" s="1"/>
  <c r="W6" i="91"/>
  <c r="N8" i="91"/>
  <c r="AG8" i="91" s="1"/>
  <c r="W6" i="106"/>
  <c r="N8" i="106"/>
  <c r="AG8" i="106" s="1"/>
  <c r="D6" i="128"/>
  <c r="S6" i="128"/>
  <c r="W5" i="148"/>
  <c r="S5" i="148" s="1"/>
  <c r="N6" i="148"/>
  <c r="AG6" i="148" s="1"/>
  <c r="D6" i="149"/>
  <c r="S6" i="149"/>
  <c r="W5" i="73"/>
  <c r="AH12" i="68"/>
  <c r="AH8" i="68" s="1"/>
  <c r="H1" i="67" s="1"/>
  <c r="J8" i="68"/>
  <c r="AC6" i="68" s="1"/>
  <c r="J6" i="68" s="1"/>
  <c r="AC5" i="68" s="1"/>
  <c r="C6" i="68"/>
  <c r="N12" i="68"/>
  <c r="AG12" i="68" s="1"/>
  <c r="D8" i="68"/>
  <c r="E56" i="150" l="1"/>
  <c r="F56" i="150" s="1"/>
  <c r="G56" i="150" s="1"/>
  <c r="H56" i="150" s="1"/>
  <c r="I56" i="150" s="1"/>
  <c r="J56" i="150" s="1"/>
  <c r="P55" i="150"/>
  <c r="Q45" i="150"/>
  <c r="K55" i="150"/>
  <c r="L45" i="150"/>
  <c r="F8" i="151"/>
  <c r="F43" i="151"/>
  <c r="T46" i="151" s="1"/>
  <c r="T56" i="151" s="1"/>
  <c r="E8" i="151"/>
  <c r="E43" i="151"/>
  <c r="O46" i="151" s="1"/>
  <c r="D8" i="151"/>
  <c r="D43" i="151"/>
  <c r="J46" i="151" s="1"/>
  <c r="G46" i="151" s="1"/>
  <c r="F56" i="151"/>
  <c r="I59" i="150"/>
  <c r="AH9" i="74"/>
  <c r="N9" i="74"/>
  <c r="AG9" i="74" s="1"/>
  <c r="E8" i="74"/>
  <c r="X8" i="74" s="1"/>
  <c r="S8" i="74" s="1"/>
  <c r="N8" i="73"/>
  <c r="AG8" i="73" s="1"/>
  <c r="N6" i="80"/>
  <c r="AG6" i="80" s="1"/>
  <c r="W5" i="80"/>
  <c r="S5" i="80" s="1"/>
  <c r="W5" i="114"/>
  <c r="S5" i="114" s="1"/>
  <c r="N6" i="114"/>
  <c r="AG6" i="114" s="1"/>
  <c r="C6" i="73"/>
  <c r="S6" i="73"/>
  <c r="J12" i="74"/>
  <c r="D12" i="74"/>
  <c r="S12" i="74"/>
  <c r="V6" i="74"/>
  <c r="C6" i="72"/>
  <c r="S12" i="72"/>
  <c r="J12" i="72"/>
  <c r="D12" i="72"/>
  <c r="D12" i="71"/>
  <c r="J12" i="71"/>
  <c r="S12" i="71"/>
  <c r="V6" i="71"/>
  <c r="J12" i="70"/>
  <c r="D12" i="70"/>
  <c r="S12" i="70"/>
  <c r="D6" i="91"/>
  <c r="S6" i="91"/>
  <c r="D6" i="106"/>
  <c r="S6" i="106"/>
  <c r="W5" i="128"/>
  <c r="S5" i="128" s="1"/>
  <c r="N6" i="128"/>
  <c r="AG6" i="128" s="1"/>
  <c r="W5" i="149"/>
  <c r="S5" i="149" s="1"/>
  <c r="N6" i="149"/>
  <c r="AG6" i="149" s="1"/>
  <c r="W6" i="68"/>
  <c r="N8" i="68"/>
  <c r="AG8" i="68" s="1"/>
  <c r="V5" i="68"/>
  <c r="J59" i="150" l="1"/>
  <c r="K59" i="150" s="1"/>
  <c r="L59" i="150" s="1"/>
  <c r="M59" i="150" s="1"/>
  <c r="N59" i="150" s="1"/>
  <c r="O59" i="150" s="1"/>
  <c r="K56" i="150"/>
  <c r="R45" i="150"/>
  <c r="Q55" i="150"/>
  <c r="M45" i="150"/>
  <c r="L55" i="150"/>
  <c r="H60" i="151"/>
  <c r="G56" i="151"/>
  <c r="H46" i="151"/>
  <c r="K46" i="151"/>
  <c r="J56" i="151"/>
  <c r="O56" i="151"/>
  <c r="P46" i="151"/>
  <c r="N12" i="74"/>
  <c r="AG12" i="74" s="1"/>
  <c r="D8" i="74"/>
  <c r="AH12" i="74"/>
  <c r="AH8" i="74" s="1"/>
  <c r="I1" i="52" s="1"/>
  <c r="J8" i="74"/>
  <c r="AC6" i="74" s="1"/>
  <c r="J6" i="74" s="1"/>
  <c r="AC5" i="74" s="1"/>
  <c r="C6" i="74"/>
  <c r="V5" i="73"/>
  <c r="S5" i="73" s="1"/>
  <c r="N6" i="73"/>
  <c r="AG6" i="73" s="1"/>
  <c r="AH12" i="71"/>
  <c r="AH8" i="71" s="1"/>
  <c r="I1" i="59" s="1"/>
  <c r="J8" i="71"/>
  <c r="AC6" i="71" s="1"/>
  <c r="J6" i="71" s="1"/>
  <c r="AC5" i="71" s="1"/>
  <c r="N12" i="71"/>
  <c r="AG12" i="71" s="1"/>
  <c r="D8" i="71"/>
  <c r="AH12" i="72"/>
  <c r="AH8" i="72" s="1"/>
  <c r="H1" i="59" s="1"/>
  <c r="J8" i="72"/>
  <c r="AC6" i="72" s="1"/>
  <c r="J6" i="72" s="1"/>
  <c r="AC5" i="72" s="1"/>
  <c r="C6" i="71"/>
  <c r="N12" i="72"/>
  <c r="AG12" i="72" s="1"/>
  <c r="D8" i="72"/>
  <c r="V5" i="72"/>
  <c r="D8" i="70"/>
  <c r="N12" i="70"/>
  <c r="AG12" i="70" s="1"/>
  <c r="AH12" i="70"/>
  <c r="AH8" i="70" s="1"/>
  <c r="I1" i="67" s="1"/>
  <c r="J8" i="70"/>
  <c r="AC6" i="70" s="1"/>
  <c r="J6" i="70" s="1"/>
  <c r="AC5" i="70" s="1"/>
  <c r="W5" i="91"/>
  <c r="S5" i="91" s="1"/>
  <c r="N6" i="91"/>
  <c r="AG6" i="91" s="1"/>
  <c r="W5" i="106"/>
  <c r="S5" i="106" s="1"/>
  <c r="N6" i="106"/>
  <c r="AG6" i="106" s="1"/>
  <c r="D6" i="68"/>
  <c r="S6" i="68"/>
  <c r="P59" i="150" l="1"/>
  <c r="L56" i="150"/>
  <c r="N45" i="150"/>
  <c r="N55" i="150" s="1"/>
  <c r="M55" i="150"/>
  <c r="S45" i="150"/>
  <c r="S55" i="150" s="1"/>
  <c r="R55" i="150"/>
  <c r="P56" i="151"/>
  <c r="Q46" i="151"/>
  <c r="K56" i="151"/>
  <c r="L46" i="151"/>
  <c r="I46" i="151"/>
  <c r="I56" i="151" s="1"/>
  <c r="H56" i="151"/>
  <c r="D56" i="151"/>
  <c r="I60" i="151" s="1"/>
  <c r="E46" i="151"/>
  <c r="E56" i="151" s="1"/>
  <c r="I2" i="130"/>
  <c r="I2" i="67"/>
  <c r="I2" i="112"/>
  <c r="I2" i="120"/>
  <c r="I2" i="82"/>
  <c r="I2" i="52"/>
  <c r="I2" i="104"/>
  <c r="I2" i="93"/>
  <c r="I2" i="59"/>
  <c r="W6" i="74"/>
  <c r="N8" i="74"/>
  <c r="AG8" i="74" s="1"/>
  <c r="V5" i="74"/>
  <c r="W6" i="71"/>
  <c r="N8" i="71"/>
  <c r="AG8" i="71" s="1"/>
  <c r="V5" i="71"/>
  <c r="W6" i="72"/>
  <c r="N8" i="72"/>
  <c r="AG8" i="72" s="1"/>
  <c r="W6" i="70"/>
  <c r="N8" i="70"/>
  <c r="AG8" i="70" s="1"/>
  <c r="W5" i="68"/>
  <c r="S5" i="68" s="1"/>
  <c r="N6" i="68"/>
  <c r="AG6" i="68" s="1"/>
  <c r="Q59" i="150" l="1"/>
  <c r="M56" i="150"/>
  <c r="N56" i="150" s="1"/>
  <c r="O56" i="150" s="1"/>
  <c r="P56" i="150" s="1"/>
  <c r="Q56" i="150" s="1"/>
  <c r="R56" i="150" s="1"/>
  <c r="S56" i="150" s="1"/>
  <c r="T56" i="150" s="1"/>
  <c r="E57" i="151"/>
  <c r="F57" i="151" s="1"/>
  <c r="L56" i="151"/>
  <c r="M46" i="151"/>
  <c r="R46" i="151"/>
  <c r="Q56" i="151"/>
  <c r="D6" i="74"/>
  <c r="S6" i="74"/>
  <c r="D6" i="72"/>
  <c r="S6" i="72"/>
  <c r="D6" i="71"/>
  <c r="S6" i="71"/>
  <c r="S6" i="70"/>
  <c r="D6" i="70"/>
  <c r="E11" i="35"/>
  <c r="R59" i="150" l="1"/>
  <c r="S59" i="150" s="1"/>
  <c r="T59" i="150" s="1"/>
  <c r="U59" i="150" s="1"/>
  <c r="V59" i="150" s="1"/>
  <c r="W59" i="150" s="1"/>
  <c r="X59" i="150" s="1"/>
  <c r="Y59" i="150" s="1"/>
  <c r="S46" i="151"/>
  <c r="S56" i="151" s="1"/>
  <c r="R56" i="151"/>
  <c r="M56" i="151"/>
  <c r="N46" i="151"/>
  <c r="N56" i="151" s="1"/>
  <c r="G57" i="151"/>
  <c r="H57" i="151" s="1"/>
  <c r="I57" i="151" s="1"/>
  <c r="J57" i="151" s="1"/>
  <c r="K57" i="151" s="1"/>
  <c r="L57" i="151" s="1"/>
  <c r="J60" i="151"/>
  <c r="W5" i="74"/>
  <c r="S5" i="74" s="1"/>
  <c r="N6" i="74"/>
  <c r="AG6" i="74" s="1"/>
  <c r="W5" i="71"/>
  <c r="S5" i="71" s="1"/>
  <c r="N6" i="71"/>
  <c r="AG6" i="71" s="1"/>
  <c r="W5" i="72"/>
  <c r="S5" i="72" s="1"/>
  <c r="N6" i="72"/>
  <c r="AG6" i="72" s="1"/>
  <c r="N6" i="70"/>
  <c r="AG6" i="70" s="1"/>
  <c r="W5" i="70"/>
  <c r="S5" i="70" s="1"/>
  <c r="E9" i="35"/>
  <c r="E21" i="35"/>
  <c r="E14" i="35"/>
  <c r="M57" i="151" l="1"/>
  <c r="N57" i="151" s="1"/>
  <c r="O57" i="151" s="1"/>
  <c r="P57" i="151" s="1"/>
  <c r="Q57" i="151" s="1"/>
  <c r="R57" i="151" s="1"/>
  <c r="S57" i="151" s="1"/>
  <c r="T57" i="151" s="1"/>
  <c r="K60" i="151"/>
  <c r="L60" i="151" s="1"/>
  <c r="M60" i="151" s="1"/>
  <c r="N60" i="151" s="1"/>
  <c r="O60" i="151" s="1"/>
  <c r="P60" i="151" s="1"/>
  <c r="Q60" i="151" s="1"/>
  <c r="R60" i="151" s="1"/>
  <c r="S60" i="151" s="1"/>
  <c r="T60" i="151" s="1"/>
  <c r="U60" i="151" s="1"/>
  <c r="V60" i="151" s="1"/>
  <c r="W60" i="151" s="1"/>
  <c r="U4" i="73"/>
  <c r="U4" i="71"/>
  <c r="B4" i="72"/>
  <c r="U4" i="72" s="1"/>
  <c r="B4" i="70"/>
  <c r="U4" i="70" s="1"/>
  <c r="B4" i="68"/>
  <c r="U4" i="68" s="1"/>
  <c r="C32" i="27"/>
  <c r="D32" i="27"/>
  <c r="E32" i="27"/>
  <c r="F32" i="27"/>
  <c r="G32" i="27"/>
  <c r="H32" i="27"/>
  <c r="I32" i="27"/>
  <c r="J32" i="27"/>
  <c r="K32" i="27"/>
  <c r="L32" i="27"/>
  <c r="B32" i="27"/>
  <c r="X60" i="151" l="1"/>
  <c r="Y60" i="151" s="1"/>
  <c r="AH4" i="70"/>
  <c r="AG4" i="70"/>
  <c r="AH4" i="71"/>
  <c r="AG4" i="71"/>
  <c r="AH4" i="72"/>
  <c r="AG4" i="72"/>
  <c r="AG4" i="68"/>
  <c r="AH4" i="68"/>
  <c r="AH4" i="73"/>
  <c r="AG4" i="73"/>
  <c r="E15" i="35"/>
  <c r="E10" i="35"/>
  <c r="E6" i="35" l="1"/>
  <c r="E8" i="35"/>
  <c r="E7" i="35" l="1"/>
  <c r="E18" i="35"/>
  <c r="R8" i="80" l="1"/>
  <c r="R8" i="81"/>
  <c r="E5" i="35"/>
  <c r="E13" i="35"/>
  <c r="E19" i="35"/>
  <c r="C11" i="92"/>
  <c r="N11" i="92" s="1"/>
  <c r="AG11" i="92" s="1"/>
  <c r="K8" i="92"/>
  <c r="AD8" i="92" s="1"/>
  <c r="AD9" i="92" s="1"/>
  <c r="H9" i="92" l="1"/>
  <c r="H8" i="92" s="1"/>
  <c r="AA7" i="92" s="1"/>
  <c r="S9" i="92"/>
  <c r="I9" i="92"/>
  <c r="I8" i="92" s="1"/>
  <c r="AB7" i="92" s="1"/>
  <c r="AH11" i="92"/>
  <c r="C9" i="92" l="1"/>
  <c r="J9" i="92"/>
  <c r="S7" i="92"/>
  <c r="C8" i="92"/>
  <c r="E9" i="92"/>
  <c r="G9" i="92"/>
  <c r="G8" i="92" s="1"/>
  <c r="Z6" i="92" s="1"/>
  <c r="G6" i="92" s="1"/>
  <c r="Z5" i="92" s="1"/>
  <c r="F9" i="92"/>
  <c r="F8" i="92" s="1"/>
  <c r="Y6" i="92" s="1"/>
  <c r="F6" i="92" s="1"/>
  <c r="Y5" i="92" s="1"/>
  <c r="D9" i="92"/>
  <c r="AH9" i="92" l="1"/>
  <c r="E8" i="92"/>
  <c r="X8" i="92" s="1"/>
  <c r="S8" i="92" s="1"/>
  <c r="X12" i="92"/>
  <c r="N9" i="92"/>
  <c r="AG9" i="92" s="1"/>
  <c r="V6" i="92"/>
  <c r="J12" i="92" l="1"/>
  <c r="D12" i="92"/>
  <c r="S12" i="92"/>
  <c r="C6" i="92"/>
  <c r="AH12" i="92" l="1"/>
  <c r="AH8" i="92" s="1"/>
  <c r="H1" i="93" s="1"/>
  <c r="J8" i="92"/>
  <c r="AC6" i="92" s="1"/>
  <c r="J6" i="92" s="1"/>
  <c r="AC5" i="92" s="1"/>
  <c r="N12" i="92"/>
  <c r="AG12" i="92" s="1"/>
  <c r="D8" i="92"/>
  <c r="V5" i="92"/>
  <c r="H2" i="130" l="1"/>
  <c r="H2" i="59"/>
  <c r="H2" i="112"/>
  <c r="H2" i="67"/>
  <c r="H2" i="120"/>
  <c r="H2" i="93"/>
  <c r="H2" i="52"/>
  <c r="H2" i="104"/>
  <c r="H2" i="82"/>
  <c r="W6" i="92"/>
  <c r="N8" i="92"/>
  <c r="AG8" i="92" s="1"/>
  <c r="D6" i="92" l="1"/>
  <c r="S6" i="92"/>
  <c r="W5" i="92" l="1"/>
  <c r="S5" i="92" s="1"/>
  <c r="N6" i="92"/>
  <c r="AG6" i="92" s="1"/>
</calcChain>
</file>

<file path=xl/sharedStrings.xml><?xml version="1.0" encoding="utf-8"?>
<sst xmlns="http://schemas.openxmlformats.org/spreadsheetml/2006/main" count="9090" uniqueCount="319">
  <si>
    <t>Consumption</t>
  </si>
  <si>
    <t>Coal</t>
  </si>
  <si>
    <t>Crude oil</t>
  </si>
  <si>
    <t>Oil Products</t>
  </si>
  <si>
    <t>Natual Gas</t>
  </si>
  <si>
    <t>Nuclear</t>
  </si>
  <si>
    <t>Hydro</t>
  </si>
  <si>
    <t>Geothermal, solar, wind, etc.</t>
  </si>
  <si>
    <t>Biofuels and waste</t>
  </si>
  <si>
    <t>Electricity</t>
  </si>
  <si>
    <t>Heat</t>
  </si>
  <si>
    <t>Energy Services</t>
  </si>
  <si>
    <t>Total consumption</t>
  </si>
  <si>
    <t>World 2050</t>
  </si>
  <si>
    <t>Faktor</t>
  </si>
  <si>
    <t>Total production</t>
  </si>
  <si>
    <t>Efficiency</t>
  </si>
  <si>
    <t>Production</t>
  </si>
  <si>
    <t>Loss</t>
  </si>
  <si>
    <t>CO2-emissions</t>
  </si>
  <si>
    <t>ID</t>
  </si>
  <si>
    <t xml:space="preserve">C </t>
  </si>
  <si>
    <t>CC</t>
  </si>
  <si>
    <t>CCO</t>
  </si>
  <si>
    <t>COP</t>
  </si>
  <si>
    <t>CNG</t>
  </si>
  <si>
    <t>CNU</t>
  </si>
  <si>
    <t>CHY</t>
  </si>
  <si>
    <t>CGSW</t>
  </si>
  <si>
    <t>CWB</t>
  </si>
  <si>
    <t>CE</t>
  </si>
  <si>
    <t>CH</t>
  </si>
  <si>
    <t>CES</t>
  </si>
  <si>
    <t>fbrbr</t>
  </si>
  <si>
    <t>ID Parent</t>
  </si>
  <si>
    <t>factor</t>
  </si>
  <si>
    <t>pbrpr</t>
  </si>
  <si>
    <t>pvrkg</t>
  </si>
  <si>
    <t xml:space="preserve">P </t>
  </si>
  <si>
    <t>PC</t>
  </si>
  <si>
    <t>PCO</t>
  </si>
  <si>
    <t>POP</t>
  </si>
  <si>
    <t>PNG</t>
  </si>
  <si>
    <t>PNU</t>
  </si>
  <si>
    <t>PHY</t>
  </si>
  <si>
    <t>PGSW</t>
  </si>
  <si>
    <t>PWB</t>
  </si>
  <si>
    <t>PE</t>
  </si>
  <si>
    <t>PH</t>
  </si>
  <si>
    <t>PES</t>
  </si>
  <si>
    <t>PTAB</t>
  </si>
  <si>
    <t>PCO2</t>
  </si>
  <si>
    <t>C</t>
  </si>
  <si>
    <t>Structures</t>
  </si>
  <si>
    <t>P</t>
  </si>
  <si>
    <t>Factor</t>
  </si>
  <si>
    <t>Entry fuels</t>
  </si>
  <si>
    <t>ETP</t>
  </si>
  <si>
    <t>Transport of fuels</t>
  </si>
  <si>
    <t>TRAP</t>
  </si>
  <si>
    <t xml:space="preserve">Entry On-Grid RE </t>
  </si>
  <si>
    <t>ELP1</t>
  </si>
  <si>
    <t>Entry electricity, district heating and oil products</t>
  </si>
  <si>
    <t>ES</t>
  </si>
  <si>
    <t>Electricity-only plants</t>
  </si>
  <si>
    <t>ESEP</t>
  </si>
  <si>
    <t>CHP plants</t>
  </si>
  <si>
    <t>ESCHP</t>
  </si>
  <si>
    <t>Heat Plants</t>
  </si>
  <si>
    <t>ESHP</t>
  </si>
  <si>
    <t>Oil refineries</t>
  </si>
  <si>
    <t>ESOR</t>
  </si>
  <si>
    <t>Energy Industry one use</t>
  </si>
  <si>
    <t>ESNSP</t>
  </si>
  <si>
    <t>Transport electricity, district heating and oil products</t>
  </si>
  <si>
    <t>TRAS</t>
  </si>
  <si>
    <t>Entry Off-Grid RE</t>
  </si>
  <si>
    <t>ELP2</t>
  </si>
  <si>
    <t>Exit energy</t>
  </si>
  <si>
    <t>EX</t>
  </si>
  <si>
    <t>Industry</t>
  </si>
  <si>
    <t>EXI</t>
  </si>
  <si>
    <t>Transport</t>
  </si>
  <si>
    <t>EXT</t>
  </si>
  <si>
    <t xml:space="preserve">Other </t>
  </si>
  <si>
    <t>EXO</t>
  </si>
  <si>
    <t>Residential</t>
  </si>
  <si>
    <t>EXOR</t>
  </si>
  <si>
    <t>Commercial and public services</t>
  </si>
  <si>
    <t>EXOC</t>
  </si>
  <si>
    <t>Agriculture / forestry</t>
  </si>
  <si>
    <t>EXOA</t>
  </si>
  <si>
    <t>Fishing</t>
  </si>
  <si>
    <t>EXOF</t>
  </si>
  <si>
    <t>Non-specified</t>
  </si>
  <si>
    <t>EXON</t>
  </si>
  <si>
    <t>EN</t>
  </si>
  <si>
    <t>World 2030</t>
  </si>
  <si>
    <t>The projection model in three different resolutions</t>
  </si>
  <si>
    <t>Bright green: The World as a whole</t>
  </si>
  <si>
    <t>Green: The World divided into OECD- and Non-OECD-contries</t>
  </si>
  <si>
    <t>Dark green: The World divided into nine areas</t>
  </si>
  <si>
    <t>Ligth green resolution</t>
  </si>
  <si>
    <t>World</t>
  </si>
  <si>
    <t xml:space="preserve">Final Energy Consumption (PJ) </t>
  </si>
  <si>
    <t>Inhabitants</t>
  </si>
  <si>
    <t>Final Energy Consumption per Inhabitans</t>
  </si>
  <si>
    <t>Gross Domestic Product (GDP)</t>
  </si>
  <si>
    <t>Final Energy Consumption per GDP</t>
  </si>
  <si>
    <t>Human Development Index (HDI)</t>
  </si>
  <si>
    <t>Final Energy Consumption per HDI</t>
  </si>
  <si>
    <t>Social Progress Index (SPI)</t>
  </si>
  <si>
    <t>Final Energy Consumption per SPI</t>
  </si>
  <si>
    <t>The same procedure for other Sustainable Goals</t>
  </si>
  <si>
    <t>Green resolution</t>
  </si>
  <si>
    <t>OECD</t>
  </si>
  <si>
    <t xml:space="preserve">Final Energy Consumption </t>
  </si>
  <si>
    <t>Non-OECD</t>
  </si>
  <si>
    <t>Dark green resolution</t>
  </si>
  <si>
    <t>Non-OECD Americas</t>
  </si>
  <si>
    <t>Non-OECD Europe and Eurasia</t>
  </si>
  <si>
    <t>Non-OECD Asia excluding China</t>
  </si>
  <si>
    <t>Middle East</t>
  </si>
  <si>
    <t>Africa</t>
  </si>
  <si>
    <t>China</t>
  </si>
  <si>
    <t>OECD Americas</t>
  </si>
  <si>
    <t>OECD Europe</t>
  </si>
  <si>
    <t>OECD Asia Oceania</t>
  </si>
  <si>
    <t>CO2-emissions (mio. ton)</t>
  </si>
  <si>
    <t xml:space="preserve">Reduction Goul: </t>
  </si>
  <si>
    <t>Calculated and predicted values</t>
  </si>
  <si>
    <t>Total final consumption</t>
  </si>
  <si>
    <t>Share of consumption</t>
  </si>
  <si>
    <t>- Industry</t>
  </si>
  <si>
    <t>- Transport</t>
  </si>
  <si>
    <t>- Residential</t>
  </si>
  <si>
    <t>- Commercial and public services</t>
  </si>
  <si>
    <t>- Agriculture / forestry</t>
  </si>
  <si>
    <t>- Fishing</t>
  </si>
  <si>
    <t>- Non-specified</t>
  </si>
  <si>
    <r>
      <t xml:space="preserve">Share of energyforms </t>
    </r>
    <r>
      <rPr>
        <b/>
        <i/>
        <sz val="11"/>
        <color theme="1"/>
        <rFont val="Calibri"/>
        <family val="2"/>
        <scheme val="minor"/>
      </rPr>
      <t>Industry</t>
    </r>
  </si>
  <si>
    <t>- Coal</t>
  </si>
  <si>
    <t>- Crude Oil</t>
  </si>
  <si>
    <t>- Oil products</t>
  </si>
  <si>
    <t>- Natural Gas</t>
  </si>
  <si>
    <t>- Geothermal, Solar, Wind, etc.</t>
  </si>
  <si>
    <t>- Biofuels and Waste</t>
  </si>
  <si>
    <t>- Electricity</t>
  </si>
  <si>
    <t>- Heat</t>
  </si>
  <si>
    <r>
      <t xml:space="preserve">Share of energyforms </t>
    </r>
    <r>
      <rPr>
        <b/>
        <i/>
        <sz val="11"/>
        <color theme="1"/>
        <rFont val="Calibri"/>
        <family val="2"/>
        <scheme val="minor"/>
      </rPr>
      <t>Transport</t>
    </r>
  </si>
  <si>
    <r>
      <t xml:space="preserve">Share of energyforms </t>
    </r>
    <r>
      <rPr>
        <b/>
        <i/>
        <sz val="11"/>
        <color theme="1"/>
        <rFont val="Calibri"/>
        <family val="2"/>
        <scheme val="minor"/>
      </rPr>
      <t>Residential</t>
    </r>
  </si>
  <si>
    <r>
      <t xml:space="preserve">Share of energyforms </t>
    </r>
    <r>
      <rPr>
        <b/>
        <i/>
        <sz val="11"/>
        <color theme="1"/>
        <rFont val="Calibri"/>
        <family val="2"/>
        <scheme val="minor"/>
      </rPr>
      <t>Commercial and public services</t>
    </r>
  </si>
  <si>
    <r>
      <t xml:space="preserve">Share of energyforms </t>
    </r>
    <r>
      <rPr>
        <b/>
        <i/>
        <sz val="11"/>
        <color theme="1"/>
        <rFont val="Calibri"/>
        <family val="2"/>
        <scheme val="minor"/>
      </rPr>
      <t>Agriculture / forestry</t>
    </r>
  </si>
  <si>
    <r>
      <t xml:space="preserve">Share of energyforms </t>
    </r>
    <r>
      <rPr>
        <b/>
        <i/>
        <sz val="11"/>
        <color theme="1"/>
        <rFont val="Calibri"/>
        <family val="2"/>
        <scheme val="minor"/>
      </rPr>
      <t>Fishing</t>
    </r>
  </si>
  <si>
    <r>
      <t xml:space="preserve">Share of energyforms </t>
    </r>
    <r>
      <rPr>
        <b/>
        <i/>
        <sz val="11"/>
        <color theme="1"/>
        <rFont val="Calibri"/>
        <family val="2"/>
        <scheme val="minor"/>
      </rPr>
      <t>Non-specified</t>
    </r>
  </si>
  <si>
    <t>Transport losses</t>
  </si>
  <si>
    <t xml:space="preserve">Industry own use  </t>
  </si>
  <si>
    <t>Industry own use (% of total consumption)</t>
  </si>
  <si>
    <t>Distribution between energi forms</t>
  </si>
  <si>
    <t>- Natural gas</t>
  </si>
  <si>
    <t>- Crude oil</t>
  </si>
  <si>
    <t>- Biofuels and waste</t>
  </si>
  <si>
    <r>
      <t xml:space="preserve">Distribution of production between technologies </t>
    </r>
    <r>
      <rPr>
        <b/>
        <i/>
        <sz val="11"/>
        <color theme="1"/>
        <rFont val="Calibri"/>
        <family val="2"/>
        <scheme val="minor"/>
      </rPr>
      <t>Heat</t>
    </r>
  </si>
  <si>
    <t>- CHP plants</t>
  </si>
  <si>
    <t>- Heat plants</t>
  </si>
  <si>
    <t>Electricity consumption on Heat plants</t>
  </si>
  <si>
    <t>- % of heat production on Heat plants</t>
  </si>
  <si>
    <r>
      <t xml:space="preserve">Ratio between electricity and heat production on CHP  plants </t>
    </r>
    <r>
      <rPr>
        <b/>
        <i/>
        <sz val="11"/>
        <color theme="1"/>
        <rFont val="Calibri"/>
        <family val="2"/>
        <scheme val="minor"/>
      </rPr>
      <t>(Electricity)</t>
    </r>
  </si>
  <si>
    <t>- Cm-value</t>
  </si>
  <si>
    <r>
      <t xml:space="preserve">Distribution of production between technologies </t>
    </r>
    <r>
      <rPr>
        <b/>
        <i/>
        <sz val="11"/>
        <color theme="1"/>
        <rFont val="Calibri"/>
        <family val="2"/>
        <scheme val="minor"/>
      </rPr>
      <t>Oil products</t>
    </r>
  </si>
  <si>
    <t>- Oil refineries</t>
  </si>
  <si>
    <r>
      <t xml:space="preserve">Share of non-fuel RE for </t>
    </r>
    <r>
      <rPr>
        <b/>
        <i/>
        <sz val="11"/>
        <color theme="1"/>
        <rFont val="Calibri"/>
        <family val="2"/>
        <scheme val="minor"/>
      </rPr>
      <t>Electricity-only plants</t>
    </r>
  </si>
  <si>
    <t>- Hydro</t>
  </si>
  <si>
    <t>- Fuel based plants</t>
  </si>
  <si>
    <r>
      <t xml:space="preserve">Share of non-fuel RE for </t>
    </r>
    <r>
      <rPr>
        <b/>
        <i/>
        <sz val="11"/>
        <color theme="1"/>
        <rFont val="Calibri"/>
        <family val="2"/>
        <scheme val="minor"/>
      </rPr>
      <t>CHP plants</t>
    </r>
  </si>
  <si>
    <r>
      <t xml:space="preserve">Share of non-fuel RE for </t>
    </r>
    <r>
      <rPr>
        <b/>
        <i/>
        <sz val="11"/>
        <color theme="1"/>
        <rFont val="Calibri"/>
        <family val="2"/>
        <scheme val="minor"/>
      </rPr>
      <t>Heat plants</t>
    </r>
  </si>
  <si>
    <t>Efficiencies thermal plants</t>
  </si>
  <si>
    <t>- Electricity-only plants</t>
  </si>
  <si>
    <t>- Heat Plants</t>
  </si>
  <si>
    <r>
      <rPr>
        <i/>
        <sz val="11"/>
        <color theme="1"/>
        <rFont val="Calibri"/>
        <family val="2"/>
        <scheme val="minor"/>
      </rPr>
      <t xml:space="preserve">Fuel distribution for </t>
    </r>
    <r>
      <rPr>
        <b/>
        <i/>
        <sz val="11"/>
        <color theme="1"/>
        <rFont val="Calibri"/>
        <family val="2"/>
        <scheme val="minor"/>
      </rPr>
      <t>Electricity-only plants</t>
    </r>
  </si>
  <si>
    <t>- Nuclear</t>
  </si>
  <si>
    <r>
      <t xml:space="preserve">Fuel distribution for </t>
    </r>
    <r>
      <rPr>
        <b/>
        <i/>
        <sz val="11"/>
        <color theme="1"/>
        <rFont val="Calibri"/>
        <family val="2"/>
        <scheme val="minor"/>
      </rPr>
      <t>CHP plants</t>
    </r>
  </si>
  <si>
    <r>
      <t xml:space="preserve">Fuel distribution for </t>
    </r>
    <r>
      <rPr>
        <b/>
        <i/>
        <sz val="11"/>
        <color theme="1"/>
        <rFont val="Calibri"/>
        <family val="2"/>
        <scheme val="minor"/>
      </rPr>
      <t>Heat plants</t>
    </r>
  </si>
  <si>
    <r>
      <t xml:space="preserve">Fuel distribution for </t>
    </r>
    <r>
      <rPr>
        <b/>
        <i/>
        <sz val="11"/>
        <color theme="1"/>
        <rFont val="Calibri"/>
        <family val="2"/>
        <scheme val="minor"/>
      </rPr>
      <t>Oil refineries</t>
    </r>
  </si>
  <si>
    <t>Fluegas cleaning</t>
  </si>
  <si>
    <t>Coal fired power plants</t>
  </si>
  <si>
    <t>Oilfired power plants</t>
  </si>
  <si>
    <t>Natural gas fired power plants</t>
  </si>
  <si>
    <t>Biomass-fired power plants</t>
  </si>
  <si>
    <t>Efficiency of final consumption</t>
  </si>
  <si>
    <t xml:space="preserve">Fuels </t>
  </si>
  <si>
    <t>Fuels in Transport</t>
  </si>
  <si>
    <t xml:space="preserve">Electricity  </t>
  </si>
  <si>
    <t>Other</t>
  </si>
  <si>
    <t>Temperature Change</t>
  </si>
  <si>
    <t>Year</t>
  </si>
  <si>
    <t>*= Fields To Change</t>
  </si>
  <si>
    <r>
      <t>CO</t>
    </r>
    <r>
      <rPr>
        <vertAlign val="sub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 xml:space="preserve"> emissions (mio. Ton)</t>
    </r>
  </si>
  <si>
    <r>
      <t>Share of CO</t>
    </r>
    <r>
      <rPr>
        <vertAlign val="sub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 xml:space="preserve"> emissions from Transport &amp; Energy</t>
    </r>
  </si>
  <si>
    <r>
      <t>Total CO</t>
    </r>
    <r>
      <rPr>
        <vertAlign val="sub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>e emissions (mio. ton)</t>
    </r>
  </si>
  <si>
    <t xml:space="preserve">Temperature Calculations </t>
  </si>
  <si>
    <t>CO2</t>
  </si>
  <si>
    <t>Other CO2e emission (mio. ton)</t>
  </si>
  <si>
    <t>Total CO2e emissions (mio. ton)</t>
  </si>
  <si>
    <t>Intervals between year</t>
  </si>
  <si>
    <t>CO2 emissions (mio. Ton)</t>
  </si>
  <si>
    <t>Reference Year of 2015</t>
  </si>
  <si>
    <t>Concentration</t>
  </si>
  <si>
    <t>Temperature</t>
  </si>
  <si>
    <t>S (Climate sensitivity)</t>
  </si>
  <si>
    <t>Total Carbon Emissions (Gigatons)</t>
  </si>
  <si>
    <t>Temperature Calculations</t>
  </si>
  <si>
    <t>Temperature [C]</t>
  </si>
  <si>
    <t>Recommended Temperature Limit</t>
  </si>
  <si>
    <t>Coal*</t>
  </si>
  <si>
    <t>Oil products</t>
  </si>
  <si>
    <t>Natural gas</t>
  </si>
  <si>
    <t>Geothermal, solar, etc.</t>
  </si>
  <si>
    <t>Total**</t>
  </si>
  <si>
    <t>ktoe</t>
  </si>
  <si>
    <t>Imports</t>
  </si>
  <si>
    <t>Exports</t>
  </si>
  <si>
    <t>International marine bunkers</t>
  </si>
  <si>
    <t>International aviation bunkers</t>
  </si>
  <si>
    <t>Stock changes</t>
  </si>
  <si>
    <t>TES</t>
  </si>
  <si>
    <t>Transfers</t>
  </si>
  <si>
    <t>Statistical differences</t>
  </si>
  <si>
    <t>Electricity plants</t>
  </si>
  <si>
    <t>Heat plants</t>
  </si>
  <si>
    <t>Gas works</t>
  </si>
  <si>
    <t>Coal transformation</t>
  </si>
  <si>
    <t>Liquefication plants</t>
  </si>
  <si>
    <t>Other transformation</t>
  </si>
  <si>
    <t>Energy industry own use</t>
  </si>
  <si>
    <t>Losses</t>
  </si>
  <si>
    <t>Non-energy use</t>
  </si>
  <si>
    <t>Non OECD total 2050</t>
  </si>
  <si>
    <t>Non OECD total 2030</t>
  </si>
  <si>
    <t>CO2-emissions Non-OECD (mio. ton)</t>
  </si>
  <si>
    <t>CO2-emissions World (mio. ton)</t>
  </si>
  <si>
    <t>- Natual Gas</t>
  </si>
  <si>
    <t xml:space="preserve">Industry one use  </t>
  </si>
  <si>
    <t>Industry one use (% of total consumption)</t>
  </si>
  <si>
    <t>- Natual gas</t>
  </si>
  <si>
    <t>Natual gas fired power plants</t>
  </si>
  <si>
    <t>Middle East 2050</t>
  </si>
  <si>
    <t>Middle East 2030</t>
  </si>
  <si>
    <t>CO2-emissions OECD (mio. ton)</t>
  </si>
  <si>
    <t>OECD Countries</t>
  </si>
  <si>
    <r>
      <t xml:space="preserve"> CO</t>
    </r>
    <r>
      <rPr>
        <vertAlign val="sub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 xml:space="preserve"> emissions (mio. Ton)</t>
    </r>
  </si>
  <si>
    <t>Non-OECD Countries</t>
  </si>
  <si>
    <t>Total</t>
  </si>
  <si>
    <t>CO2-emissions Middle East(mio. ton)</t>
  </si>
  <si>
    <t>Africa 2050</t>
  </si>
  <si>
    <t>Africa 2030</t>
  </si>
  <si>
    <t>China 2050</t>
  </si>
  <si>
    <t>China 2030</t>
  </si>
  <si>
    <t>Asia excluding China 2050</t>
  </si>
  <si>
    <t>Asia excluding China 2030</t>
  </si>
  <si>
    <t>Non-OECD Americas 2050</t>
  </si>
  <si>
    <t>Non-OECD Americas 2030</t>
  </si>
  <si>
    <t>Non-OECD Europe Eurasia 2050</t>
  </si>
  <si>
    <t>Non-OECD Europe Eurasia 2030</t>
  </si>
  <si>
    <t>OECD Europe 2050</t>
  </si>
  <si>
    <t>OECD Europe 2030</t>
  </si>
  <si>
    <t>OECD Asia Oceania 2030</t>
  </si>
  <si>
    <t>OECD Asia Oceania 2050</t>
  </si>
  <si>
    <t>OECD Americas 2030</t>
  </si>
  <si>
    <t>OECD Americas 2050</t>
  </si>
  <si>
    <t>Asia excluding China</t>
  </si>
  <si>
    <t>Non-OECD Europe Eurasia</t>
  </si>
  <si>
    <t>Asia Excluding China</t>
  </si>
  <si>
    <t>Non-OECD Europa Eurasia</t>
  </si>
  <si>
    <t>Culture</t>
  </si>
  <si>
    <t>da-DK</t>
  </si>
  <si>
    <t>Navn</t>
  </si>
  <si>
    <t>World e2g-balance 2050</t>
  </si>
  <si>
    <t>Type</t>
  </si>
  <si>
    <t>Års</t>
  </si>
  <si>
    <t>Energi Enhed</t>
  </si>
  <si>
    <t>PJ</t>
  </si>
  <si>
    <t>CO2 Enhed</t>
  </si>
  <si>
    <t>mio. Ton</t>
  </si>
  <si>
    <t>Tab Sum</t>
  </si>
  <si>
    <t>CO2 Sum</t>
  </si>
  <si>
    <t>mio. ton/PJ</t>
  </si>
  <si>
    <t>Crude Oil</t>
  </si>
  <si>
    <t>Geothermal, Solar, Wind, etc.</t>
  </si>
  <si>
    <t>Biofuels and Waste</t>
  </si>
  <si>
    <t>Biofuels and Waste with cleaning</t>
  </si>
  <si>
    <t>Niveau 1</t>
  </si>
  <si>
    <t>Størrelse</t>
  </si>
  <si>
    <t>Energi</t>
  </si>
  <si>
    <t>Under kasser</t>
  </si>
  <si>
    <t>Energi/%</t>
  </si>
  <si>
    <t>Udgang transport af brændsel</t>
  </si>
  <si>
    <t>Indgang On-Grid VE</t>
  </si>
  <si>
    <t>Indgang el, fjernvarme og olieprodukter</t>
  </si>
  <si>
    <t>Udgang el, fjernvarme og olieprodukter</t>
  </si>
  <si>
    <t>Under el, fjernvarme og olieprodukter</t>
  </si>
  <si>
    <t>Indgang transport af el, fjernvarme og olieprodukter</t>
  </si>
  <si>
    <t>Indgang Off-Grid VE</t>
  </si>
  <si>
    <t>Exit Energy</t>
  </si>
  <si>
    <t>Tab konvertering</t>
  </si>
  <si>
    <t>Tab slutforbrug</t>
  </si>
  <si>
    <t>Tab transport af el mv.</t>
  </si>
  <si>
    <t>Indgang el, varme  og olieprodukter</t>
  </si>
  <si>
    <t>Tab indgang el, varme og olieprodukter</t>
  </si>
  <si>
    <t>Udgang energi</t>
  </si>
  <si>
    <t>Tab udgang</t>
  </si>
  <si>
    <t>Energitjenester</t>
  </si>
  <si>
    <t>Tab energitjenester</t>
  </si>
  <si>
    <t>Transport brændsler</t>
  </si>
  <si>
    <t>Tab transport af brændsler</t>
  </si>
  <si>
    <t>Transport af el, varme og olieprodukter</t>
  </si>
  <si>
    <t>Tab transport af el, varme og olieprodukter</t>
  </si>
  <si>
    <t>C-emission 2015</t>
  </si>
  <si>
    <t>C-emission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</si>
</sst>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164" formatCode="###,\ ###,##0;[Red]\-###,##0;&quot;-&quot;"/>
    <numFmt numFmtId="165" formatCode="0.0"/>
    <numFmt numFmtId="166" formatCode="0.00000000%"/>
  </numFmts>
  <fonts count="17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28"/>
      <color theme="1"/>
      <name val="Calibri"/>
      <family val="2"/>
      <scheme val="minor"/>
    </font>
    <font>
      <sz val="10"/>
      <name val="Arial"/>
      <family val="2"/>
    </font>
    <font>
      <sz val="11"/>
      <color theme="0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1"/>
      <color theme="9" tint="-0.49998474074526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vertAlign val="subscript"/>
      <sz val="11"/>
      <color theme="1"/>
      <name val="Calibri"/>
      <family val="2"/>
      <scheme val="minor"/>
    </font>
  </fonts>
  <fills count="17">
    <fill>
      <patternFill patternType="none"/>
    </fill>
    <fill>
      <patternFill patternType="gray125"/>
    </fill>
    <fill>
      <patternFill patternType="solid">
        <fgColor theme="5" tint="-0.249977111117893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8EA9DB"/>
        <bgColor indexed="64"/>
      </patternFill>
    </fill>
    <fill>
      <patternFill patternType="solid">
        <fgColor rgb="FFC6591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C6E0B4"/>
        <bgColor indexed="64"/>
      </patternFill>
    </fill>
    <fill>
      <patternFill patternType="solid">
        <fgColor rgb="FFA6A6A6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4">
    <xf numFmtId="0" fontId="0" fillId="0" borderId="0"/>
    <xf numFmtId="0" fontId="4" fillId="0" borderId="0"/>
    <xf numFmtId="0" fontId="4" fillId="0" borderId="0"/>
    <xf numFmtId="9" fontId="15" fillId="0" borderId="0" applyFont="0" applyFill="0" applyBorder="0" applyAlignment="0" applyProtection="0"/>
  </cellStyleXfs>
  <cellXfs count="120">
    <xf numFmtId="0" fontId="0" fillId="0" borderId="0" xfId="0"/>
    <xf numFmtId="0" fontId="2" fillId="3" borderId="1" xfId="0" applyFont="1" applyFill="1" applyBorder="1" applyAlignment="1">
      <alignment horizontal="center" textRotation="90"/>
    </xf>
    <xf numFmtId="164" fontId="2" fillId="3" borderId="1" xfId="0" applyNumberFormat="1" applyFont="1" applyFill="1" applyBorder="1" applyAlignment="1">
      <alignment horizontal="center" textRotation="90"/>
    </xf>
    <xf numFmtId="0" fontId="2" fillId="4" borderId="1" xfId="0" applyFont="1" applyFill="1" applyBorder="1" applyAlignment="1">
      <alignment horizontal="center" textRotation="90"/>
    </xf>
    <xf numFmtId="0" fontId="3" fillId="4" borderId="0" xfId="0" quotePrefix="1" applyFont="1" applyFill="1" applyAlignment="1">
      <alignment horizontal="center" vertical="center" wrapText="1"/>
    </xf>
    <xf numFmtId="0" fontId="2" fillId="6" borderId="0" xfId="0" applyFont="1" applyFill="1" applyAlignment="1">
      <alignment horizontal="center" textRotation="90"/>
    </xf>
    <xf numFmtId="0" fontId="2" fillId="4" borderId="1" xfId="0" quotePrefix="1" applyFont="1" applyFill="1" applyBorder="1"/>
    <xf numFmtId="1" fontId="0" fillId="0" borderId="0" xfId="0" applyNumberFormat="1"/>
    <xf numFmtId="0" fontId="2" fillId="4" borderId="3" xfId="0" applyFont="1" applyFill="1" applyBorder="1" applyAlignment="1">
      <alignment horizontal="center" textRotation="90"/>
    </xf>
    <xf numFmtId="164" fontId="2" fillId="4" borderId="1" xfId="0" applyNumberFormat="1" applyFont="1" applyFill="1" applyBorder="1" applyAlignment="1">
      <alignment horizontal="center" textRotation="90"/>
    </xf>
    <xf numFmtId="0" fontId="1" fillId="8" borderId="1" xfId="0" quotePrefix="1" applyFont="1" applyFill="1" applyBorder="1"/>
    <xf numFmtId="0" fontId="2" fillId="6" borderId="4" xfId="0" applyFont="1" applyFill="1" applyBorder="1" applyAlignment="1">
      <alignment horizontal="center" textRotation="90"/>
    </xf>
    <xf numFmtId="0" fontId="2" fillId="6" borderId="1" xfId="0" applyFont="1" applyFill="1" applyBorder="1" applyAlignment="1">
      <alignment horizontal="center" textRotation="90"/>
    </xf>
    <xf numFmtId="0" fontId="2" fillId="9" borderId="1" xfId="0" applyFont="1" applyFill="1" applyBorder="1" applyAlignment="1">
      <alignment horizontal="center" textRotation="90"/>
    </xf>
    <xf numFmtId="1" fontId="1" fillId="2" borderId="1" xfId="0" applyNumberFormat="1" applyFont="1" applyFill="1" applyBorder="1" applyAlignment="1">
      <alignment horizontal="center"/>
    </xf>
    <xf numFmtId="1" fontId="2" fillId="5" borderId="1" xfId="0" applyNumberFormat="1" applyFont="1" applyFill="1" applyBorder="1" applyAlignment="1">
      <alignment horizontal="center"/>
    </xf>
    <xf numFmtId="1" fontId="1" fillId="5" borderId="1" xfId="0" applyNumberFormat="1" applyFont="1" applyFill="1" applyBorder="1" applyAlignment="1">
      <alignment horizontal="center"/>
    </xf>
    <xf numFmtId="164" fontId="2" fillId="3" borderId="0" xfId="0" applyNumberFormat="1" applyFont="1" applyFill="1" applyAlignment="1">
      <alignment horizontal="center" textRotation="90"/>
    </xf>
    <xf numFmtId="1" fontId="1" fillId="2" borderId="2" xfId="0" applyNumberFormat="1" applyFont="1" applyFill="1" applyBorder="1" applyAlignment="1">
      <alignment horizontal="center"/>
    </xf>
    <xf numFmtId="1" fontId="5" fillId="5" borderId="1" xfId="0" applyNumberFormat="1" applyFont="1" applyFill="1" applyBorder="1" applyAlignment="1">
      <alignment horizontal="center"/>
    </xf>
    <xf numFmtId="1" fontId="0" fillId="5" borderId="1" xfId="0" applyNumberFormat="1" applyFill="1" applyBorder="1" applyAlignment="1">
      <alignment horizontal="center"/>
    </xf>
    <xf numFmtId="1" fontId="5" fillId="5" borderId="1" xfId="0" quotePrefix="1" applyNumberFormat="1" applyFont="1" applyFill="1" applyBorder="1" applyAlignment="1">
      <alignment horizontal="center"/>
    </xf>
    <xf numFmtId="165" fontId="1" fillId="8" borderId="1" xfId="0" applyNumberFormat="1" applyFont="1" applyFill="1" applyBorder="1" applyAlignment="1">
      <alignment horizontal="left"/>
    </xf>
    <xf numFmtId="1" fontId="6" fillId="7" borderId="1" xfId="0" applyNumberFormat="1" applyFont="1" applyFill="1" applyBorder="1" applyAlignment="1">
      <alignment horizontal="center"/>
    </xf>
    <xf numFmtId="1" fontId="6" fillId="7" borderId="1" xfId="0" quotePrefix="1" applyNumberFormat="1" applyFont="1" applyFill="1" applyBorder="1" applyAlignment="1">
      <alignment horizontal="center"/>
    </xf>
    <xf numFmtId="1" fontId="1" fillId="4" borderId="1" xfId="0" applyNumberFormat="1" applyFont="1" applyFill="1" applyBorder="1" applyAlignment="1">
      <alignment horizontal="center"/>
    </xf>
    <xf numFmtId="1" fontId="2" fillId="4" borderId="1" xfId="0" applyNumberFormat="1" applyFont="1" applyFill="1" applyBorder="1" applyAlignment="1">
      <alignment horizontal="center"/>
    </xf>
    <xf numFmtId="1" fontId="0" fillId="4" borderId="1" xfId="0" applyNumberFormat="1" applyFill="1" applyBorder="1" applyAlignment="1">
      <alignment horizontal="center"/>
    </xf>
    <xf numFmtId="1" fontId="6" fillId="4" borderId="1" xfId="0" applyNumberFormat="1" applyFont="1" applyFill="1" applyBorder="1" applyAlignment="1">
      <alignment horizontal="center"/>
    </xf>
    <xf numFmtId="1" fontId="7" fillId="4" borderId="1" xfId="0" quotePrefix="1" applyNumberFormat="1" applyFont="1" applyFill="1" applyBorder="1" applyAlignment="1">
      <alignment horizontal="center"/>
    </xf>
    <xf numFmtId="49" fontId="0" fillId="0" borderId="0" xfId="0" applyNumberFormat="1"/>
    <xf numFmtId="49" fontId="9" fillId="10" borderId="0" xfId="0" applyNumberFormat="1" applyFont="1" applyFill="1"/>
    <xf numFmtId="49" fontId="9" fillId="10" borderId="0" xfId="0" applyNumberFormat="1" applyFont="1" applyFill="1" applyAlignment="1">
      <alignment wrapText="1"/>
    </xf>
    <xf numFmtId="1" fontId="0" fillId="10" borderId="0" xfId="0" applyNumberFormat="1" applyFill="1"/>
    <xf numFmtId="2" fontId="0" fillId="0" borderId="0" xfId="0" applyNumberFormat="1"/>
    <xf numFmtId="0" fontId="8" fillId="0" borderId="0" xfId="0" applyFont="1" applyAlignment="1">
      <alignment horizontal="center"/>
    </xf>
    <xf numFmtId="1" fontId="7" fillId="4" borderId="1" xfId="0" applyNumberFormat="1" applyFont="1" applyFill="1" applyBorder="1" applyAlignment="1">
      <alignment horizontal="center"/>
    </xf>
    <xf numFmtId="2" fontId="6" fillId="7" borderId="1" xfId="0" quotePrefix="1" applyNumberFormat="1" applyFont="1" applyFill="1" applyBorder="1" applyAlignment="1">
      <alignment horizontal="center"/>
    </xf>
    <xf numFmtId="49" fontId="0" fillId="10" borderId="0" xfId="0" applyNumberFormat="1" applyFill="1"/>
    <xf numFmtId="49" fontId="2" fillId="0" borderId="0" xfId="0" applyNumberFormat="1" applyFont="1"/>
    <xf numFmtId="9" fontId="0" fillId="0" borderId="0" xfId="0" applyNumberFormat="1"/>
    <xf numFmtId="0" fontId="0" fillId="0" borderId="0" xfId="0" applyAlignment="1">
      <alignment wrapText="1"/>
    </xf>
    <xf numFmtId="9" fontId="0" fillId="10" borderId="0" xfId="0" applyNumberFormat="1" applyFill="1"/>
    <xf numFmtId="9" fontId="2" fillId="0" borderId="0" xfId="0" applyNumberFormat="1" applyFont="1"/>
    <xf numFmtId="0" fontId="2" fillId="5" borderId="1" xfId="0" applyFont="1" applyFill="1" applyBorder="1" applyAlignment="1">
      <alignment horizontal="center" textRotation="90"/>
    </xf>
    <xf numFmtId="0" fontId="0" fillId="12" borderId="1" xfId="0" applyFill="1" applyBorder="1"/>
    <xf numFmtId="0" fontId="2" fillId="12" borderId="1" xfId="0" applyFont="1" applyFill="1" applyBorder="1" applyAlignment="1">
      <alignment horizontal="center"/>
    </xf>
    <xf numFmtId="164" fontId="2" fillId="12" borderId="1" xfId="0" applyNumberFormat="1" applyFont="1" applyFill="1" applyBorder="1" applyAlignment="1">
      <alignment horizontal="center"/>
    </xf>
    <xf numFmtId="0" fontId="0" fillId="12" borderId="1" xfId="0" applyFill="1" applyBorder="1" applyAlignment="1">
      <alignment horizontal="center"/>
    </xf>
    <xf numFmtId="164" fontId="2" fillId="12" borderId="2" xfId="0" applyNumberFormat="1" applyFont="1" applyFill="1" applyBorder="1" applyAlignment="1">
      <alignment horizontal="center"/>
    </xf>
    <xf numFmtId="0" fontId="2" fillId="7" borderId="1" xfId="0" applyFont="1" applyFill="1" applyBorder="1" applyAlignment="1">
      <alignment horizontal="center"/>
    </xf>
    <xf numFmtId="0" fontId="3" fillId="11" borderId="0" xfId="0" quotePrefix="1" applyFont="1" applyFill="1" applyAlignment="1">
      <alignment horizontal="center" vertical="center" wrapText="1"/>
    </xf>
    <xf numFmtId="0" fontId="2" fillId="12" borderId="2" xfId="0" quotePrefix="1" applyFont="1" applyFill="1" applyBorder="1" applyAlignment="1">
      <alignment horizontal="center" wrapText="1"/>
    </xf>
    <xf numFmtId="0" fontId="2" fillId="12" borderId="1" xfId="0" quotePrefix="1" applyFont="1" applyFill="1" applyBorder="1" applyAlignment="1">
      <alignment horizontal="center" wrapText="1"/>
    </xf>
    <xf numFmtId="0" fontId="2" fillId="7" borderId="4" xfId="0" applyFont="1" applyFill="1" applyBorder="1" applyAlignment="1">
      <alignment horizontal="center"/>
    </xf>
    <xf numFmtId="0" fontId="0" fillId="12" borderId="3" xfId="0" applyFill="1" applyBorder="1"/>
    <xf numFmtId="0" fontId="2" fillId="12" borderId="3" xfId="0" applyFont="1" applyFill="1" applyBorder="1" applyAlignment="1">
      <alignment horizontal="center"/>
    </xf>
    <xf numFmtId="0" fontId="2" fillId="12" borderId="5" xfId="0" applyFont="1" applyFill="1" applyBorder="1" applyAlignment="1">
      <alignment horizontal="center"/>
    </xf>
    <xf numFmtId="0" fontId="2" fillId="7" borderId="6" xfId="0" applyFont="1" applyFill="1" applyBorder="1" applyAlignment="1">
      <alignment horizontal="center"/>
    </xf>
    <xf numFmtId="0" fontId="2" fillId="7" borderId="3" xfId="0" applyFont="1" applyFill="1" applyBorder="1" applyAlignment="1">
      <alignment horizontal="center"/>
    </xf>
    <xf numFmtId="0" fontId="3" fillId="0" borderId="0" xfId="0" quotePrefix="1" applyFont="1" applyAlignment="1">
      <alignment horizontal="center" vertical="center" wrapText="1"/>
    </xf>
    <xf numFmtId="2" fontId="6" fillId="0" borderId="1" xfId="0" quotePrefix="1" applyNumberFormat="1" applyFont="1" applyBorder="1" applyAlignment="1">
      <alignment horizontal="center"/>
    </xf>
    <xf numFmtId="0" fontId="1" fillId="5" borderId="7" xfId="0" quotePrefix="1" applyFont="1" applyFill="1" applyBorder="1"/>
    <xf numFmtId="0" fontId="1" fillId="5" borderId="1" xfId="0" quotePrefix="1" applyFont="1" applyFill="1" applyBorder="1"/>
    <xf numFmtId="0" fontId="0" fillId="4" borderId="7" xfId="0" quotePrefix="1" applyFill="1" applyBorder="1"/>
    <xf numFmtId="165" fontId="1" fillId="2" borderId="4" xfId="0" applyNumberFormat="1" applyFont="1" applyFill="1" applyBorder="1" applyAlignment="1">
      <alignment horizontal="left"/>
    </xf>
    <xf numFmtId="165" fontId="1" fillId="5" borderId="1" xfId="0" applyNumberFormat="1" applyFont="1" applyFill="1" applyBorder="1" applyAlignment="1">
      <alignment horizontal="left"/>
    </xf>
    <xf numFmtId="165" fontId="1" fillId="5" borderId="8" xfId="0" applyNumberFormat="1" applyFont="1" applyFill="1" applyBorder="1" applyAlignment="1">
      <alignment horizontal="left"/>
    </xf>
    <xf numFmtId="0" fontId="0" fillId="4" borderId="4" xfId="0" quotePrefix="1" applyFill="1" applyBorder="1"/>
    <xf numFmtId="3" fontId="7" fillId="4" borderId="1" xfId="1" quotePrefix="1" applyNumberFormat="1" applyFont="1" applyFill="1" applyBorder="1" applyAlignment="1">
      <alignment horizontal="left"/>
    </xf>
    <xf numFmtId="165" fontId="2" fillId="5" borderId="1" xfId="0" applyNumberFormat="1" applyFont="1" applyFill="1" applyBorder="1" applyAlignment="1">
      <alignment horizontal="center"/>
    </xf>
    <xf numFmtId="0" fontId="1" fillId="2" borderId="1" xfId="0" applyFont="1" applyFill="1" applyBorder="1"/>
    <xf numFmtId="0" fontId="0" fillId="12" borderId="0" xfId="0" applyFill="1"/>
    <xf numFmtId="0" fontId="2" fillId="12" borderId="7" xfId="0" quotePrefix="1" applyFont="1" applyFill="1" applyBorder="1" applyAlignment="1">
      <alignment horizontal="center" wrapText="1"/>
    </xf>
    <xf numFmtId="0" fontId="2" fillId="12" borderId="6" xfId="0" quotePrefix="1" applyFont="1" applyFill="1" applyBorder="1" applyAlignment="1">
      <alignment horizontal="center" wrapText="1"/>
    </xf>
    <xf numFmtId="3" fontId="0" fillId="0" borderId="0" xfId="0" applyNumberFormat="1"/>
    <xf numFmtId="3" fontId="0" fillId="0" borderId="0" xfId="0" applyNumberFormat="1" applyAlignment="1">
      <alignment horizontal="center"/>
    </xf>
    <xf numFmtId="9" fontId="0" fillId="12" borderId="1" xfId="0" applyNumberFormat="1" applyFill="1" applyBorder="1" applyProtection="1">
      <protection locked="0"/>
    </xf>
    <xf numFmtId="2" fontId="0" fillId="12" borderId="1" xfId="0" applyNumberFormat="1" applyFill="1" applyBorder="1" applyProtection="1">
      <protection locked="0"/>
    </xf>
    <xf numFmtId="3" fontId="0" fillId="12" borderId="1" xfId="0" applyNumberFormat="1" applyFill="1" applyBorder="1" applyProtection="1">
      <protection locked="0"/>
    </xf>
    <xf numFmtId="1" fontId="9" fillId="10" borderId="0" xfId="0" applyNumberFormat="1" applyFont="1" applyFill="1"/>
    <xf numFmtId="9" fontId="9" fillId="10" borderId="0" xfId="0" applyNumberFormat="1" applyFont="1" applyFill="1"/>
    <xf numFmtId="9" fontId="9" fillId="10" borderId="0" xfId="0" applyNumberFormat="1" applyFont="1" applyFill="1" applyAlignment="1">
      <alignment wrapText="1"/>
    </xf>
    <xf numFmtId="3" fontId="8" fillId="0" borderId="0" xfId="0" applyNumberFormat="1" applyFont="1" applyAlignment="1">
      <alignment wrapText="1"/>
    </xf>
    <xf numFmtId="0" fontId="2" fillId="13" borderId="1" xfId="0" quotePrefix="1" applyFont="1" applyFill="1" applyBorder="1"/>
    <xf numFmtId="0" fontId="0" fillId="13" borderId="7" xfId="0" quotePrefix="1" applyFill="1" applyBorder="1"/>
    <xf numFmtId="3" fontId="7" fillId="13" borderId="1" xfId="1" quotePrefix="1" applyNumberFormat="1" applyFont="1" applyFill="1" applyBorder="1" applyAlignment="1">
      <alignment horizontal="left"/>
    </xf>
    <xf numFmtId="1" fontId="7" fillId="13" borderId="1" xfId="0" quotePrefix="1" applyNumberFormat="1" applyFont="1" applyFill="1" applyBorder="1" applyAlignment="1">
      <alignment horizontal="center"/>
    </xf>
    <xf numFmtId="9" fontId="7" fillId="12" borderId="1" xfId="0" applyNumberFormat="1" applyFont="1" applyFill="1" applyBorder="1"/>
    <xf numFmtId="9" fontId="5" fillId="9" borderId="1" xfId="0" applyNumberFormat="1" applyFont="1" applyFill="1" applyBorder="1"/>
    <xf numFmtId="9" fontId="0" fillId="12" borderId="9" xfId="0" applyNumberFormat="1" applyFill="1" applyBorder="1" applyProtection="1">
      <protection locked="0"/>
    </xf>
    <xf numFmtId="0" fontId="11" fillId="0" borderId="0" xfId="0" applyFont="1"/>
    <xf numFmtId="1" fontId="6" fillId="13" borderId="1" xfId="0" applyNumberFormat="1" applyFont="1" applyFill="1" applyBorder="1" applyAlignment="1">
      <alignment horizontal="center"/>
    </xf>
    <xf numFmtId="9" fontId="0" fillId="12" borderId="4" xfId="0" applyNumberFormat="1" applyFill="1" applyBorder="1" applyProtection="1">
      <protection locked="0"/>
    </xf>
    <xf numFmtId="9" fontId="0" fillId="0" borderId="0" xfId="0" applyNumberFormat="1" applyProtection="1">
      <protection locked="0"/>
    </xf>
    <xf numFmtId="166" fontId="0" fillId="0" borderId="0" xfId="0" applyNumberFormat="1"/>
    <xf numFmtId="0" fontId="2" fillId="0" borderId="0" xfId="0" applyFont="1"/>
    <xf numFmtId="0" fontId="12" fillId="0" borderId="0" xfId="0" applyFont="1"/>
    <xf numFmtId="0" fontId="8" fillId="0" borderId="0" xfId="0" applyFont="1"/>
    <xf numFmtId="0" fontId="13" fillId="0" borderId="0" xfId="0" applyFont="1"/>
    <xf numFmtId="0" fontId="7" fillId="0" borderId="0" xfId="0" applyFont="1"/>
    <xf numFmtId="3" fontId="8" fillId="0" borderId="0" xfId="0" applyNumberFormat="1" applyFont="1" applyAlignment="1">
      <alignment horizontal="right"/>
    </xf>
    <xf numFmtId="0" fontId="0" fillId="14" borderId="0" xfId="0" applyFill="1"/>
    <xf numFmtId="0" fontId="0" fillId="15" borderId="0" xfId="0" applyFill="1"/>
    <xf numFmtId="165" fontId="0" fillId="0" borderId="0" xfId="0" applyNumberFormat="1"/>
    <xf numFmtId="9" fontId="0" fillId="15" borderId="0" xfId="3" applyFont="1" applyFill="1"/>
    <xf numFmtId="0" fontId="0" fillId="0" borderId="0" xfId="0" applyAlignment="1">
      <alignment horizontal="left"/>
    </xf>
    <xf numFmtId="3" fontId="0" fillId="15" borderId="0" xfId="0" applyNumberFormat="1" applyFill="1" applyAlignment="1">
      <alignment horizontal="center"/>
    </xf>
    <xf numFmtId="1" fontId="0" fillId="0" borderId="0" xfId="3" applyNumberFormat="1" applyFont="1" applyFill="1"/>
    <xf numFmtId="1" fontId="2" fillId="0" borderId="0" xfId="0" applyNumberFormat="1" applyFont="1"/>
    <xf numFmtId="1" fontId="2" fillId="0" borderId="0" xfId="3" applyNumberFormat="1" applyFont="1" applyFill="1"/>
    <xf numFmtId="3" fontId="2" fillId="0" borderId="0" xfId="0" applyNumberFormat="1" applyFont="1"/>
    <xf numFmtId="2" fontId="7" fillId="16" borderId="0" xfId="0" applyNumberFormat="1" applyFont="1" applyFill="1"/>
    <xf numFmtId="2" fontId="7" fillId="0" borderId="0" xfId="0" applyNumberFormat="1" applyFont="1"/>
    <xf numFmtId="0" fontId="0" fillId="0" borderId="0" xfId="0" applyAlignment="1">
      <alignment horizontal="center"/>
    </xf>
    <xf numFmtId="0" fontId="2" fillId="0" borderId="0" xfId="0" applyFont="1" applyAlignment="1">
      <alignment horizontal="center"/>
    </xf>
    <xf numFmtId="4" fontId="0" fillId="0" borderId="0" xfId="0" applyNumberFormat="1"/>
    <xf numFmtId="0" fontId="0" fillId="0" borderId="0" xfId="0" applyAlignment="1">
      <alignment horizontal="center"/>
    </xf>
    <xf numFmtId="0" fontId="14" fillId="14" borderId="0" xfId="0" applyFont="1" applyFill="1" applyAlignment="1">
      <alignment horizontal="center"/>
    </xf>
    <xf numFmtId="0" fontId="2" fillId="0" borderId="0" xfId="0" applyFont="1" applyAlignment="1">
      <alignment horizontal="center"/>
    </xf>
  </cellXfs>
  <cellStyles count="4">
    <cellStyle name="Normal" xfId="0" builtinId="0"/>
    <cellStyle name="Normal 2 2" xfId="1" xr:uid="{00000000-0005-0000-0000-000001000000}"/>
    <cellStyle name="Normal 3" xfId="2" xr:uid="{00000000-0005-0000-0000-000002000000}"/>
    <cellStyle name="Procent" xfId="3" builtinId="5"/>
  </cellStyles>
  <dxfs count="0"/>
  <tableStyles count="1" defaultTableStyle="TableStyleMedium2" defaultPivotStyle="PivotStyleLight16">
    <tableStyle name="Invisible" pivot="0" table="0" count="0" xr9:uid="{B3047BF9-7A6B-4D67-950D-F0F0796526C0}"/>
  </tableStyles>
  <colors>
    <mruColors>
      <color rgb="FFC6E0B4"/>
      <color rgb="FFC65911"/>
      <color rgb="FF92D050"/>
      <color rgb="FF8EA9DB"/>
      <color rgb="FFA6A6A6"/>
      <color rgb="FFFFF2CC"/>
      <color rgb="FFFCE4D6"/>
      <color rgb="FFEDEDE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theme" Target="theme/theme1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styles" Target="styles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calcChain" Target="calcChain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'KF World - Temperature'!$A$59</c:f>
              <c:strCache>
                <c:ptCount val="1"/>
                <c:pt idx="0">
                  <c:v>Temperature [C]</c:v>
                </c:pt>
              </c:strCache>
            </c:strRef>
          </c:tx>
          <c:spPr>
            <a:ln w="34925" cap="rnd">
              <a:solidFill>
                <a:srgbClr val="C6E0B4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numRef>
              <c:f>'KF World - Temperature'!$B$58:$Y$58</c:f>
              <c:numCache>
                <c:formatCode>General</c:formatCode>
                <c:ptCount val="24"/>
                <c:pt idx="0">
                  <c:v>1995</c:v>
                </c:pt>
                <c:pt idx="1">
                  <c:v>2000</c:v>
                </c:pt>
                <c:pt idx="2">
                  <c:v>2005</c:v>
                </c:pt>
                <c:pt idx="3">
                  <c:v>2010</c:v>
                </c:pt>
                <c:pt idx="4">
                  <c:v>2015</c:v>
                </c:pt>
                <c:pt idx="5">
                  <c:v>2018</c:v>
                </c:pt>
                <c:pt idx="6">
                  <c:v>2019</c:v>
                </c:pt>
                <c:pt idx="7" formatCode="0">
                  <c:v>2020</c:v>
                </c:pt>
                <c:pt idx="8" formatCode="0">
                  <c:v>2025</c:v>
                </c:pt>
                <c:pt idx="9" formatCode="0">
                  <c:v>2030</c:v>
                </c:pt>
                <c:pt idx="10" formatCode="0">
                  <c:v>2035</c:v>
                </c:pt>
                <c:pt idx="11" formatCode="0">
                  <c:v>2040</c:v>
                </c:pt>
                <c:pt idx="12" formatCode="0">
                  <c:v>2045</c:v>
                </c:pt>
                <c:pt idx="13" formatCode="0">
                  <c:v>2050</c:v>
                </c:pt>
                <c:pt idx="14" formatCode="0">
                  <c:v>2055</c:v>
                </c:pt>
                <c:pt idx="15" formatCode="0">
                  <c:v>2060</c:v>
                </c:pt>
                <c:pt idx="16" formatCode="0">
                  <c:v>2065</c:v>
                </c:pt>
                <c:pt idx="17" formatCode="0">
                  <c:v>2070</c:v>
                </c:pt>
                <c:pt idx="18" formatCode="0">
                  <c:v>2075</c:v>
                </c:pt>
                <c:pt idx="19" formatCode="0">
                  <c:v>2080</c:v>
                </c:pt>
                <c:pt idx="20" formatCode="0">
                  <c:v>2085</c:v>
                </c:pt>
                <c:pt idx="21" formatCode="0">
                  <c:v>2090</c:v>
                </c:pt>
                <c:pt idx="22" formatCode="0">
                  <c:v>2095</c:v>
                </c:pt>
                <c:pt idx="23" formatCode="0">
                  <c:v>2100</c:v>
                </c:pt>
              </c:numCache>
            </c:numRef>
          </c:cat>
          <c:val>
            <c:numRef>
              <c:f>'KF World - Temperature'!$B$59:$Y$59</c:f>
              <c:numCache>
                <c:formatCode>0.00</c:formatCode>
                <c:ptCount val="24"/>
                <c:pt idx="0">
                  <c:v>14.24</c:v>
                </c:pt>
                <c:pt idx="1">
                  <c:v>14.4</c:v>
                </c:pt>
                <c:pt idx="2">
                  <c:v>14.47</c:v>
                </c:pt>
                <c:pt idx="3">
                  <c:v>14.45</c:v>
                </c:pt>
                <c:pt idx="4">
                  <c:v>14.65</c:v>
                </c:pt>
                <c:pt idx="5">
                  <c:v>14.702831877789135</c:v>
                </c:pt>
                <c:pt idx="6">
                  <c:v>14.723895254747998</c:v>
                </c:pt>
                <c:pt idx="7">
                  <c:v>14.74483334953945</c:v>
                </c:pt>
                <c:pt idx="8">
                  <c:v>14.847445360911147</c:v>
                </c:pt>
                <c:pt idx="9">
                  <c:v>14.94713032352716</c:v>
                </c:pt>
                <c:pt idx="10">
                  <c:v>15.04243296967674</c:v>
                </c:pt>
                <c:pt idx="11">
                  <c:v>15.132029772782579</c:v>
                </c:pt>
                <c:pt idx="12">
                  <c:v>15.216245132849362</c:v>
                </c:pt>
                <c:pt idx="13">
                  <c:v>15.295370835670541</c:v>
                </c:pt>
                <c:pt idx="14">
                  <c:v>15.375804457284772</c:v>
                </c:pt>
                <c:pt idx="15">
                  <c:v>15.463446130054994</c:v>
                </c:pt>
                <c:pt idx="16">
                  <c:v>15.557794218555474</c:v>
                </c:pt>
                <c:pt idx="17">
                  <c:v>15.65834001507292</c:v>
                </c:pt>
                <c:pt idx="18">
                  <c:v>15.764574291214245</c:v>
                </c:pt>
                <c:pt idx="19">
                  <c:v>15.867752069221783</c:v>
                </c:pt>
                <c:pt idx="20">
                  <c:v>15.959962762498542</c:v>
                </c:pt>
                <c:pt idx="21">
                  <c:v>16.041887554380448</c:v>
                </c:pt>
                <c:pt idx="22">
                  <c:v>16.114107382810445</c:v>
                </c:pt>
                <c:pt idx="23">
                  <c:v>16.177117241898802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B87-4F7E-9A64-52D9DCBBE5EE}"/>
            </c:ext>
          </c:extLst>
        </c:ser>
        <c:ser>
          <c:idx val="1"/>
          <c:order val="1"/>
          <c:tx>
            <c:strRef>
              <c:f>'KF World - Temperature'!$A$60</c:f>
              <c:strCache>
                <c:ptCount val="1"/>
                <c:pt idx="0">
                  <c:v>Recommended Temperature Limit</c:v>
                </c:pt>
              </c:strCache>
            </c:strRef>
          </c:tx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numRef>
              <c:f>'KF World - Temperature'!$B$58:$Y$58</c:f>
              <c:numCache>
                <c:formatCode>General</c:formatCode>
                <c:ptCount val="24"/>
                <c:pt idx="0">
                  <c:v>1995</c:v>
                </c:pt>
                <c:pt idx="1">
                  <c:v>2000</c:v>
                </c:pt>
                <c:pt idx="2">
                  <c:v>2005</c:v>
                </c:pt>
                <c:pt idx="3">
                  <c:v>2010</c:v>
                </c:pt>
                <c:pt idx="4">
                  <c:v>2015</c:v>
                </c:pt>
                <c:pt idx="5">
                  <c:v>2018</c:v>
                </c:pt>
                <c:pt idx="6">
                  <c:v>2019</c:v>
                </c:pt>
                <c:pt idx="7" formatCode="0">
                  <c:v>2020</c:v>
                </c:pt>
                <c:pt idx="8" formatCode="0">
                  <c:v>2025</c:v>
                </c:pt>
                <c:pt idx="9" formatCode="0">
                  <c:v>2030</c:v>
                </c:pt>
                <c:pt idx="10" formatCode="0">
                  <c:v>2035</c:v>
                </c:pt>
                <c:pt idx="11" formatCode="0">
                  <c:v>2040</c:v>
                </c:pt>
                <c:pt idx="12" formatCode="0">
                  <c:v>2045</c:v>
                </c:pt>
                <c:pt idx="13" formatCode="0">
                  <c:v>2050</c:v>
                </c:pt>
                <c:pt idx="14" formatCode="0">
                  <c:v>2055</c:v>
                </c:pt>
                <c:pt idx="15" formatCode="0">
                  <c:v>2060</c:v>
                </c:pt>
                <c:pt idx="16" formatCode="0">
                  <c:v>2065</c:v>
                </c:pt>
                <c:pt idx="17" formatCode="0">
                  <c:v>2070</c:v>
                </c:pt>
                <c:pt idx="18" formatCode="0">
                  <c:v>2075</c:v>
                </c:pt>
                <c:pt idx="19" formatCode="0">
                  <c:v>2080</c:v>
                </c:pt>
                <c:pt idx="20" formatCode="0">
                  <c:v>2085</c:v>
                </c:pt>
                <c:pt idx="21" formatCode="0">
                  <c:v>2090</c:v>
                </c:pt>
                <c:pt idx="22" formatCode="0">
                  <c:v>2095</c:v>
                </c:pt>
                <c:pt idx="23" formatCode="0">
                  <c:v>2100</c:v>
                </c:pt>
              </c:numCache>
            </c:numRef>
          </c:cat>
          <c:val>
            <c:numRef>
              <c:f>'KF World - Temperature'!$B$60:$Y$60</c:f>
              <c:numCache>
                <c:formatCode>General</c:formatCode>
                <c:ptCount val="24"/>
                <c:pt idx="0">
                  <c:v>15.8</c:v>
                </c:pt>
                <c:pt idx="1">
                  <c:v>15.8</c:v>
                </c:pt>
                <c:pt idx="2">
                  <c:v>15.8</c:v>
                </c:pt>
                <c:pt idx="3">
                  <c:v>15.8</c:v>
                </c:pt>
                <c:pt idx="4">
                  <c:v>15.8</c:v>
                </c:pt>
                <c:pt idx="5">
                  <c:v>15.8</c:v>
                </c:pt>
                <c:pt idx="6">
                  <c:v>15.8</c:v>
                </c:pt>
                <c:pt idx="7">
                  <c:v>15.8</c:v>
                </c:pt>
                <c:pt idx="8">
                  <c:v>15.8</c:v>
                </c:pt>
                <c:pt idx="9">
                  <c:v>15.8</c:v>
                </c:pt>
                <c:pt idx="10">
                  <c:v>15.8</c:v>
                </c:pt>
                <c:pt idx="11">
                  <c:v>15.8</c:v>
                </c:pt>
                <c:pt idx="12">
                  <c:v>15.8</c:v>
                </c:pt>
                <c:pt idx="13">
                  <c:v>15.8</c:v>
                </c:pt>
                <c:pt idx="14">
                  <c:v>15.8</c:v>
                </c:pt>
                <c:pt idx="15">
                  <c:v>15.8</c:v>
                </c:pt>
                <c:pt idx="16">
                  <c:v>15.8</c:v>
                </c:pt>
                <c:pt idx="17">
                  <c:v>15.8</c:v>
                </c:pt>
                <c:pt idx="18">
                  <c:v>15.8</c:v>
                </c:pt>
                <c:pt idx="19">
                  <c:v>15.8</c:v>
                </c:pt>
                <c:pt idx="20">
                  <c:v>15.8</c:v>
                </c:pt>
                <c:pt idx="21">
                  <c:v>15.8</c:v>
                </c:pt>
                <c:pt idx="22">
                  <c:v>15.8</c:v>
                </c:pt>
                <c:pt idx="23">
                  <c:v>15.8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B87-4F7E-9A64-52D9DCBBE5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88627935"/>
        <c:axId val="1988628351"/>
      </c:lineChart>
      <c:catAx>
        <c:axId val="198862793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a-DK"/>
          </a:p>
        </c:txPr>
        <c:crossAx val="1988628351"/>
        <c:crosses val="autoZero"/>
        <c:auto val="1"/>
        <c:lblAlgn val="ctr"/>
        <c:lblOffset val="100"/>
        <c:noMultiLvlLbl val="0"/>
      </c:catAx>
      <c:valAx>
        <c:axId val="19886283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da-DK"/>
                  <a:t>Temperature (Celsius)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a-DK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a-DK"/>
          </a:p>
        </c:txPr>
        <c:crossAx val="198862793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'KF OECD+Non-OECD - Temperature'!$A$60</c:f>
              <c:strCache>
                <c:ptCount val="1"/>
                <c:pt idx="0">
                  <c:v>Temperature [C]</c:v>
                </c:pt>
              </c:strCache>
            </c:strRef>
          </c:tx>
          <c:spPr>
            <a:ln w="34925" cap="rnd">
              <a:solidFill>
                <a:srgbClr val="C6E0B4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numRef>
              <c:f>'KF OECD+Non-OECD - Temperature'!$B$59:$Y$59</c:f>
              <c:numCache>
                <c:formatCode>General</c:formatCode>
                <c:ptCount val="24"/>
                <c:pt idx="0">
                  <c:v>1995</c:v>
                </c:pt>
                <c:pt idx="1">
                  <c:v>2000</c:v>
                </c:pt>
                <c:pt idx="2">
                  <c:v>2005</c:v>
                </c:pt>
                <c:pt idx="3">
                  <c:v>2010</c:v>
                </c:pt>
                <c:pt idx="4">
                  <c:v>2015</c:v>
                </c:pt>
                <c:pt idx="5">
                  <c:v>2018</c:v>
                </c:pt>
                <c:pt idx="6">
                  <c:v>2019</c:v>
                </c:pt>
                <c:pt idx="7" formatCode="0">
                  <c:v>2020</c:v>
                </c:pt>
                <c:pt idx="8" formatCode="0">
                  <c:v>2025</c:v>
                </c:pt>
                <c:pt idx="9" formatCode="0">
                  <c:v>2030</c:v>
                </c:pt>
                <c:pt idx="10" formatCode="0">
                  <c:v>2035</c:v>
                </c:pt>
                <c:pt idx="11" formatCode="0">
                  <c:v>2040</c:v>
                </c:pt>
                <c:pt idx="12" formatCode="0">
                  <c:v>2045</c:v>
                </c:pt>
                <c:pt idx="13" formatCode="0">
                  <c:v>2050</c:v>
                </c:pt>
                <c:pt idx="14" formatCode="0">
                  <c:v>2055</c:v>
                </c:pt>
                <c:pt idx="15" formatCode="0">
                  <c:v>2060</c:v>
                </c:pt>
                <c:pt idx="16" formatCode="0">
                  <c:v>2065</c:v>
                </c:pt>
                <c:pt idx="17" formatCode="0">
                  <c:v>2070</c:v>
                </c:pt>
                <c:pt idx="18" formatCode="0">
                  <c:v>2075</c:v>
                </c:pt>
                <c:pt idx="19" formatCode="0">
                  <c:v>2080</c:v>
                </c:pt>
                <c:pt idx="20" formatCode="0">
                  <c:v>2085</c:v>
                </c:pt>
                <c:pt idx="21" formatCode="0">
                  <c:v>2090</c:v>
                </c:pt>
                <c:pt idx="22" formatCode="0">
                  <c:v>2095</c:v>
                </c:pt>
                <c:pt idx="23" formatCode="0">
                  <c:v>2100</c:v>
                </c:pt>
              </c:numCache>
            </c:numRef>
          </c:cat>
          <c:val>
            <c:numRef>
              <c:f>'KF OECD+Non-OECD - Temperature'!$B$60:$Y$60</c:f>
              <c:numCache>
                <c:formatCode>0.00</c:formatCode>
                <c:ptCount val="24"/>
                <c:pt idx="0">
                  <c:v>14.24</c:v>
                </c:pt>
                <c:pt idx="1">
                  <c:v>14.4</c:v>
                </c:pt>
                <c:pt idx="2">
                  <c:v>14.47</c:v>
                </c:pt>
                <c:pt idx="3">
                  <c:v>14.45</c:v>
                </c:pt>
                <c:pt idx="4">
                  <c:v>14.65</c:v>
                </c:pt>
                <c:pt idx="5">
                  <c:v>14.701281562082755</c:v>
                </c:pt>
                <c:pt idx="6">
                  <c:v>14.721283188803325</c:v>
                </c:pt>
                <c:pt idx="7">
                  <c:v>14.741091086383046</c:v>
                </c:pt>
                <c:pt idx="8">
                  <c:v>14.837072891504429</c:v>
                </c:pt>
                <c:pt idx="9">
                  <c:v>14.928557319580985</c:v>
                </c:pt>
                <c:pt idx="10">
                  <c:v>15.016481240128508</c:v>
                </c:pt>
                <c:pt idx="11">
                  <c:v>15.101702985979985</c:v>
                </c:pt>
                <c:pt idx="12">
                  <c:v>15.184350158886389</c:v>
                </c:pt>
                <c:pt idx="13">
                  <c:v>15.264541389845423</c:v>
                </c:pt>
                <c:pt idx="14">
                  <c:v>15.343398091472329</c:v>
                </c:pt>
                <c:pt idx="15">
                  <c:v>15.42195791808633</c:v>
                </c:pt>
                <c:pt idx="16">
                  <c:v>15.500205953980918</c:v>
                </c:pt>
                <c:pt idx="17">
                  <c:v>15.578128430323794</c:v>
                </c:pt>
                <c:pt idx="18">
                  <c:v>15.655712663166369</c:v>
                </c:pt>
                <c:pt idx="19">
                  <c:v>15.732986799297896</c:v>
                </c:pt>
                <c:pt idx="20">
                  <c:v>15.809976953906174</c:v>
                </c:pt>
                <c:pt idx="21">
                  <c:v>15.886668909604895</c:v>
                </c:pt>
                <c:pt idx="22">
                  <c:v>15.963049519168813</c:v>
                </c:pt>
                <c:pt idx="23">
                  <c:v>16.039106648849877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AD4-4541-BC7E-49DF23D8E2C4}"/>
            </c:ext>
          </c:extLst>
        </c:ser>
        <c:ser>
          <c:idx val="1"/>
          <c:order val="1"/>
          <c:tx>
            <c:strRef>
              <c:f>'KF OECD+Non-OECD - Temperature'!$A$61</c:f>
              <c:strCache>
                <c:ptCount val="1"/>
                <c:pt idx="0">
                  <c:v>Recommended Temperature Limit</c:v>
                </c:pt>
              </c:strCache>
            </c:strRef>
          </c:tx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numRef>
              <c:f>'KF OECD+Non-OECD - Temperature'!$B$59:$Y$59</c:f>
              <c:numCache>
                <c:formatCode>General</c:formatCode>
                <c:ptCount val="24"/>
                <c:pt idx="0">
                  <c:v>1995</c:v>
                </c:pt>
                <c:pt idx="1">
                  <c:v>2000</c:v>
                </c:pt>
                <c:pt idx="2">
                  <c:v>2005</c:v>
                </c:pt>
                <c:pt idx="3">
                  <c:v>2010</c:v>
                </c:pt>
                <c:pt idx="4">
                  <c:v>2015</c:v>
                </c:pt>
                <c:pt idx="5">
                  <c:v>2018</c:v>
                </c:pt>
                <c:pt idx="6">
                  <c:v>2019</c:v>
                </c:pt>
                <c:pt idx="7" formatCode="0">
                  <c:v>2020</c:v>
                </c:pt>
                <c:pt idx="8" formatCode="0">
                  <c:v>2025</c:v>
                </c:pt>
                <c:pt idx="9" formatCode="0">
                  <c:v>2030</c:v>
                </c:pt>
                <c:pt idx="10" formatCode="0">
                  <c:v>2035</c:v>
                </c:pt>
                <c:pt idx="11" formatCode="0">
                  <c:v>2040</c:v>
                </c:pt>
                <c:pt idx="12" formatCode="0">
                  <c:v>2045</c:v>
                </c:pt>
                <c:pt idx="13" formatCode="0">
                  <c:v>2050</c:v>
                </c:pt>
                <c:pt idx="14" formatCode="0">
                  <c:v>2055</c:v>
                </c:pt>
                <c:pt idx="15" formatCode="0">
                  <c:v>2060</c:v>
                </c:pt>
                <c:pt idx="16" formatCode="0">
                  <c:v>2065</c:v>
                </c:pt>
                <c:pt idx="17" formatCode="0">
                  <c:v>2070</c:v>
                </c:pt>
                <c:pt idx="18" formatCode="0">
                  <c:v>2075</c:v>
                </c:pt>
                <c:pt idx="19" formatCode="0">
                  <c:v>2080</c:v>
                </c:pt>
                <c:pt idx="20" formatCode="0">
                  <c:v>2085</c:v>
                </c:pt>
                <c:pt idx="21" formatCode="0">
                  <c:v>2090</c:v>
                </c:pt>
                <c:pt idx="22" formatCode="0">
                  <c:v>2095</c:v>
                </c:pt>
                <c:pt idx="23" formatCode="0">
                  <c:v>2100</c:v>
                </c:pt>
              </c:numCache>
            </c:numRef>
          </c:cat>
          <c:val>
            <c:numRef>
              <c:f>'KF OECD+Non-OECD - Temperature'!$B$61:$Y$61</c:f>
              <c:numCache>
                <c:formatCode>General</c:formatCode>
                <c:ptCount val="24"/>
                <c:pt idx="0">
                  <c:v>15.8</c:v>
                </c:pt>
                <c:pt idx="1">
                  <c:v>15.8</c:v>
                </c:pt>
                <c:pt idx="2">
                  <c:v>15.8</c:v>
                </c:pt>
                <c:pt idx="3">
                  <c:v>15.8</c:v>
                </c:pt>
                <c:pt idx="4">
                  <c:v>15.8</c:v>
                </c:pt>
                <c:pt idx="5">
                  <c:v>15.8</c:v>
                </c:pt>
                <c:pt idx="6">
                  <c:v>15.8</c:v>
                </c:pt>
                <c:pt idx="7">
                  <c:v>15.8</c:v>
                </c:pt>
                <c:pt idx="8">
                  <c:v>15.8</c:v>
                </c:pt>
                <c:pt idx="9">
                  <c:v>15.8</c:v>
                </c:pt>
                <c:pt idx="10">
                  <c:v>15.8</c:v>
                </c:pt>
                <c:pt idx="11">
                  <c:v>15.8</c:v>
                </c:pt>
                <c:pt idx="12">
                  <c:v>15.8</c:v>
                </c:pt>
                <c:pt idx="13">
                  <c:v>15.8</c:v>
                </c:pt>
                <c:pt idx="14">
                  <c:v>15.8</c:v>
                </c:pt>
                <c:pt idx="15">
                  <c:v>15.8</c:v>
                </c:pt>
                <c:pt idx="16">
                  <c:v>15.8</c:v>
                </c:pt>
                <c:pt idx="17">
                  <c:v>15.8</c:v>
                </c:pt>
                <c:pt idx="18">
                  <c:v>15.8</c:v>
                </c:pt>
                <c:pt idx="19">
                  <c:v>15.8</c:v>
                </c:pt>
                <c:pt idx="20">
                  <c:v>15.8</c:v>
                </c:pt>
                <c:pt idx="21">
                  <c:v>15.8</c:v>
                </c:pt>
                <c:pt idx="22">
                  <c:v>15.8</c:v>
                </c:pt>
                <c:pt idx="23">
                  <c:v>15.8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AD4-4541-BC7E-49DF23D8E2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88627935"/>
        <c:axId val="1988628351"/>
      </c:lineChart>
      <c:catAx>
        <c:axId val="198862793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a-DK"/>
          </a:p>
        </c:txPr>
        <c:crossAx val="1988628351"/>
        <c:crosses val="autoZero"/>
        <c:auto val="1"/>
        <c:lblAlgn val="ctr"/>
        <c:lblOffset val="100"/>
        <c:noMultiLvlLbl val="0"/>
      </c:catAx>
      <c:valAx>
        <c:axId val="19886283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da-DK"/>
                  <a:t>Temperature (Celsius)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a-DK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a-DK"/>
          </a:p>
        </c:txPr>
        <c:crossAx val="198862793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'World by Continent -Temperature'!$A$60</c:f>
              <c:strCache>
                <c:ptCount val="1"/>
                <c:pt idx="0">
                  <c:v>Temperature [C]</c:v>
                </c:pt>
              </c:strCache>
            </c:strRef>
          </c:tx>
          <c:spPr>
            <a:ln w="34925" cap="rnd">
              <a:solidFill>
                <a:srgbClr val="C6E0B4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numRef>
              <c:f>'World by Continent -Temperature'!$B$59:$Y$59</c:f>
              <c:numCache>
                <c:formatCode>General</c:formatCode>
                <c:ptCount val="24"/>
                <c:pt idx="0">
                  <c:v>1995</c:v>
                </c:pt>
                <c:pt idx="1">
                  <c:v>2000</c:v>
                </c:pt>
                <c:pt idx="2">
                  <c:v>2005</c:v>
                </c:pt>
                <c:pt idx="3">
                  <c:v>2010</c:v>
                </c:pt>
                <c:pt idx="4">
                  <c:v>2015</c:v>
                </c:pt>
                <c:pt idx="5">
                  <c:v>2018</c:v>
                </c:pt>
                <c:pt idx="6">
                  <c:v>2019</c:v>
                </c:pt>
                <c:pt idx="7" formatCode="0">
                  <c:v>2020</c:v>
                </c:pt>
                <c:pt idx="8" formatCode="0">
                  <c:v>2025</c:v>
                </c:pt>
                <c:pt idx="9" formatCode="0">
                  <c:v>2030</c:v>
                </c:pt>
                <c:pt idx="10" formatCode="0">
                  <c:v>2035</c:v>
                </c:pt>
                <c:pt idx="11" formatCode="0">
                  <c:v>2040</c:v>
                </c:pt>
                <c:pt idx="12" formatCode="0">
                  <c:v>2045</c:v>
                </c:pt>
                <c:pt idx="13" formatCode="0">
                  <c:v>2050</c:v>
                </c:pt>
                <c:pt idx="14" formatCode="0">
                  <c:v>2055</c:v>
                </c:pt>
                <c:pt idx="15" formatCode="0">
                  <c:v>2060</c:v>
                </c:pt>
                <c:pt idx="16" formatCode="0">
                  <c:v>2065</c:v>
                </c:pt>
                <c:pt idx="17" formatCode="0">
                  <c:v>2070</c:v>
                </c:pt>
                <c:pt idx="18" formatCode="0">
                  <c:v>2075</c:v>
                </c:pt>
                <c:pt idx="19" formatCode="0">
                  <c:v>2080</c:v>
                </c:pt>
                <c:pt idx="20" formatCode="0">
                  <c:v>2085</c:v>
                </c:pt>
                <c:pt idx="21" formatCode="0">
                  <c:v>2090</c:v>
                </c:pt>
                <c:pt idx="22" formatCode="0">
                  <c:v>2095</c:v>
                </c:pt>
                <c:pt idx="23" formatCode="0">
                  <c:v>2100</c:v>
                </c:pt>
              </c:numCache>
            </c:numRef>
          </c:cat>
          <c:val>
            <c:numRef>
              <c:f>'World by Continent -Temperature'!$B$60:$Y$60</c:f>
              <c:numCache>
                <c:formatCode>0.00</c:formatCode>
                <c:ptCount val="24"/>
                <c:pt idx="0">
                  <c:v>14.24</c:v>
                </c:pt>
                <c:pt idx="1">
                  <c:v>14.4</c:v>
                </c:pt>
                <c:pt idx="2">
                  <c:v>14.47</c:v>
                </c:pt>
                <c:pt idx="3">
                  <c:v>14.45</c:v>
                </c:pt>
                <c:pt idx="4">
                  <c:v>14.65</c:v>
                </c:pt>
                <c:pt idx="5">
                  <c:v>14.701281600669471</c:v>
                </c:pt>
                <c:pt idx="6">
                  <c:v>14.721323798151424</c:v>
                </c:pt>
                <c:pt idx="7">
                  <c:v>14.741252573719837</c:v>
                </c:pt>
                <c:pt idx="8">
                  <c:v>14.838999035508712</c:v>
                </c:pt>
                <c:pt idx="9">
                  <c:v>14.934087811593137</c:v>
                </c:pt>
                <c:pt idx="10">
                  <c:v>15.026659705745029</c:v>
                </c:pt>
                <c:pt idx="11">
                  <c:v>15.116845421983847</c:v>
                </c:pt>
                <c:pt idx="12">
                  <c:v>15.204753809459376</c:v>
                </c:pt>
                <c:pt idx="13">
                  <c:v>15.290486461750522</c:v>
                </c:pt>
                <c:pt idx="14">
                  <c:v>15.374138347711646</c:v>
                </c:pt>
                <c:pt idx="15">
                  <c:v>15.455798375212447</c:v>
                </c:pt>
                <c:pt idx="16">
                  <c:v>15.535549896159393</c:v>
                </c:pt>
                <c:pt idx="17">
                  <c:v>15.613471159988457</c:v>
                </c:pt>
                <c:pt idx="18">
                  <c:v>15.689635721812303</c:v>
                </c:pt>
                <c:pt idx="19">
                  <c:v>15.764112810556442</c:v>
                </c:pt>
                <c:pt idx="20">
                  <c:v>15.836967661700776</c:v>
                </c:pt>
                <c:pt idx="21">
                  <c:v>15.908261818633232</c:v>
                </c:pt>
                <c:pt idx="22">
                  <c:v>15.978053406102843</c:v>
                </c:pt>
                <c:pt idx="23">
                  <c:v>16.046397378815758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86B-42A2-A80B-82C2627B371E}"/>
            </c:ext>
          </c:extLst>
        </c:ser>
        <c:ser>
          <c:idx val="1"/>
          <c:order val="1"/>
          <c:tx>
            <c:strRef>
              <c:f>'World by Continent -Temperature'!$A$61</c:f>
              <c:strCache>
                <c:ptCount val="1"/>
                <c:pt idx="0">
                  <c:v>Recommended Temperature Limit</c:v>
                </c:pt>
              </c:strCache>
            </c:strRef>
          </c:tx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numRef>
              <c:f>'World by Continent -Temperature'!$B$59:$Y$59</c:f>
              <c:numCache>
                <c:formatCode>General</c:formatCode>
                <c:ptCount val="24"/>
                <c:pt idx="0">
                  <c:v>1995</c:v>
                </c:pt>
                <c:pt idx="1">
                  <c:v>2000</c:v>
                </c:pt>
                <c:pt idx="2">
                  <c:v>2005</c:v>
                </c:pt>
                <c:pt idx="3">
                  <c:v>2010</c:v>
                </c:pt>
                <c:pt idx="4">
                  <c:v>2015</c:v>
                </c:pt>
                <c:pt idx="5">
                  <c:v>2018</c:v>
                </c:pt>
                <c:pt idx="6">
                  <c:v>2019</c:v>
                </c:pt>
                <c:pt idx="7" formatCode="0">
                  <c:v>2020</c:v>
                </c:pt>
                <c:pt idx="8" formatCode="0">
                  <c:v>2025</c:v>
                </c:pt>
                <c:pt idx="9" formatCode="0">
                  <c:v>2030</c:v>
                </c:pt>
                <c:pt idx="10" formatCode="0">
                  <c:v>2035</c:v>
                </c:pt>
                <c:pt idx="11" formatCode="0">
                  <c:v>2040</c:v>
                </c:pt>
                <c:pt idx="12" formatCode="0">
                  <c:v>2045</c:v>
                </c:pt>
                <c:pt idx="13" formatCode="0">
                  <c:v>2050</c:v>
                </c:pt>
                <c:pt idx="14" formatCode="0">
                  <c:v>2055</c:v>
                </c:pt>
                <c:pt idx="15" formatCode="0">
                  <c:v>2060</c:v>
                </c:pt>
                <c:pt idx="16" formatCode="0">
                  <c:v>2065</c:v>
                </c:pt>
                <c:pt idx="17" formatCode="0">
                  <c:v>2070</c:v>
                </c:pt>
                <c:pt idx="18" formatCode="0">
                  <c:v>2075</c:v>
                </c:pt>
                <c:pt idx="19" formatCode="0">
                  <c:v>2080</c:v>
                </c:pt>
                <c:pt idx="20" formatCode="0">
                  <c:v>2085</c:v>
                </c:pt>
                <c:pt idx="21" formatCode="0">
                  <c:v>2090</c:v>
                </c:pt>
                <c:pt idx="22" formatCode="0">
                  <c:v>2095</c:v>
                </c:pt>
                <c:pt idx="23" formatCode="0">
                  <c:v>2100</c:v>
                </c:pt>
              </c:numCache>
            </c:numRef>
          </c:cat>
          <c:val>
            <c:numRef>
              <c:f>'World by Continent -Temperature'!$B$61:$Y$61</c:f>
              <c:numCache>
                <c:formatCode>General</c:formatCode>
                <c:ptCount val="24"/>
                <c:pt idx="0">
                  <c:v>15.8</c:v>
                </c:pt>
                <c:pt idx="1">
                  <c:v>15.8</c:v>
                </c:pt>
                <c:pt idx="2">
                  <c:v>15.8</c:v>
                </c:pt>
                <c:pt idx="3">
                  <c:v>15.8</c:v>
                </c:pt>
                <c:pt idx="4">
                  <c:v>15.8</c:v>
                </c:pt>
                <c:pt idx="5">
                  <c:v>15.8</c:v>
                </c:pt>
                <c:pt idx="6">
                  <c:v>15.8</c:v>
                </c:pt>
                <c:pt idx="7">
                  <c:v>15.8</c:v>
                </c:pt>
                <c:pt idx="8">
                  <c:v>15.8</c:v>
                </c:pt>
                <c:pt idx="9">
                  <c:v>15.8</c:v>
                </c:pt>
                <c:pt idx="10">
                  <c:v>15.8</c:v>
                </c:pt>
                <c:pt idx="11">
                  <c:v>15.8</c:v>
                </c:pt>
                <c:pt idx="12">
                  <c:v>15.8</c:v>
                </c:pt>
                <c:pt idx="13">
                  <c:v>15.8</c:v>
                </c:pt>
                <c:pt idx="14">
                  <c:v>15.8</c:v>
                </c:pt>
                <c:pt idx="15">
                  <c:v>15.8</c:v>
                </c:pt>
                <c:pt idx="16">
                  <c:v>15.8</c:v>
                </c:pt>
                <c:pt idx="17">
                  <c:v>15.8</c:v>
                </c:pt>
                <c:pt idx="18">
                  <c:v>15.8</c:v>
                </c:pt>
                <c:pt idx="19">
                  <c:v>15.8</c:v>
                </c:pt>
                <c:pt idx="20">
                  <c:v>15.8</c:v>
                </c:pt>
                <c:pt idx="21">
                  <c:v>15.8</c:v>
                </c:pt>
                <c:pt idx="22">
                  <c:v>15.8</c:v>
                </c:pt>
                <c:pt idx="23">
                  <c:v>15.8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86B-42A2-A80B-82C2627B37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88627935"/>
        <c:axId val="1988628351"/>
      </c:lineChart>
      <c:catAx>
        <c:axId val="198862793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a-DK"/>
          </a:p>
        </c:txPr>
        <c:crossAx val="1988628351"/>
        <c:crosses val="autoZero"/>
        <c:auto val="1"/>
        <c:lblAlgn val="ctr"/>
        <c:lblOffset val="100"/>
        <c:noMultiLvlLbl val="0"/>
      </c:catAx>
      <c:valAx>
        <c:axId val="19886283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da-DK"/>
                  <a:t>Temperature (Celsius)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a-DK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a-DK"/>
          </a:p>
        </c:txPr>
        <c:crossAx val="198862793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4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34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34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238125</xdr:colOff>
      <xdr:row>3</xdr:row>
      <xdr:rowOff>95250</xdr:rowOff>
    </xdr:from>
    <xdr:to>
      <xdr:col>0</xdr:col>
      <xdr:colOff>12431182</xdr:colOff>
      <xdr:row>35</xdr:row>
      <xdr:rowOff>53103</xdr:rowOff>
    </xdr:to>
    <xdr:pic>
      <xdr:nvPicPr>
        <xdr:cNvPr id="4" name="Billede 3">
          <a:extLst>
            <a:ext uri="{FF2B5EF4-FFF2-40B4-BE49-F238E27FC236}">
              <a16:creationId xmlns:a16="http://schemas.microsoft.com/office/drawing/2014/main" id="{C17CA3AE-4561-B411-7C6F-EB454B3063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8125" y="666750"/>
          <a:ext cx="12193057" cy="605385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11</xdr:row>
      <xdr:rowOff>19049</xdr:rowOff>
    </xdr:from>
    <xdr:to>
      <xdr:col>11</xdr:col>
      <xdr:colOff>0</xdr:colOff>
      <xdr:row>31</xdr:row>
      <xdr:rowOff>180974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0E1984D4-D4DC-4C1A-99E8-E324F64BB9B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16</xdr:row>
      <xdr:rowOff>66675</xdr:rowOff>
    </xdr:from>
    <xdr:to>
      <xdr:col>9</xdr:col>
      <xdr:colOff>28575</xdr:colOff>
      <xdr:row>35</xdr:row>
      <xdr:rowOff>171449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65203EC6-C785-4F45-8143-047FD192BD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14</xdr:row>
      <xdr:rowOff>66675</xdr:rowOff>
    </xdr:from>
    <xdr:to>
      <xdr:col>9</xdr:col>
      <xdr:colOff>28575</xdr:colOff>
      <xdr:row>33</xdr:row>
      <xdr:rowOff>171449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57FDCCDA-7917-4732-A2D0-4C2B8F3B1B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-tema">
  <a:themeElements>
    <a:clrScheme name="Kontor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Kontor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ontor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1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6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0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7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H30"/>
  <sheetViews>
    <sheetView topLeftCell="I8" zoomScale="130" zoomScaleNormal="130" workbookViewId="0">
      <selection activeCell="L17" sqref="L17"/>
    </sheetView>
  </sheetViews>
  <sheetFormatPr defaultRowHeight="14.5" x14ac:dyDescent="0.35"/>
  <cols>
    <col min="3" max="3" width="16.453125" customWidth="1"/>
    <col min="4" max="4" width="12.81640625" customWidth="1"/>
    <col min="5" max="5" width="12.54296875" customWidth="1"/>
    <col min="6" max="6" width="16.54296875" customWidth="1"/>
    <col min="10" max="10" width="12.54296875" customWidth="1"/>
    <col min="11" max="11" width="11.54296875" customWidth="1"/>
    <col min="14" max="14" width="10.81640625" customWidth="1"/>
    <col min="15" max="15" width="51.54296875" customWidth="1"/>
    <col min="16" max="18" width="15.81640625" customWidth="1"/>
    <col min="19" max="19" width="12.81640625" customWidth="1"/>
    <col min="24" max="24" width="14.1796875" bestFit="1" customWidth="1"/>
    <col min="33" max="34" width="11.26953125" customWidth="1"/>
  </cols>
  <sheetData>
    <row r="1" spans="1:34" ht="140" x14ac:dyDescent="0.35">
      <c r="B1" s="44" t="s">
        <v>0</v>
      </c>
      <c r="C1" s="3" t="s">
        <v>1</v>
      </c>
      <c r="D1" s="8" t="s">
        <v>2</v>
      </c>
      <c r="E1" s="2" t="s">
        <v>3</v>
      </c>
      <c r="F1" s="3" t="s">
        <v>4</v>
      </c>
      <c r="G1" s="1" t="s">
        <v>5</v>
      </c>
      <c r="H1" s="1" t="s">
        <v>6</v>
      </c>
      <c r="I1" s="1" t="s">
        <v>7</v>
      </c>
      <c r="J1" s="3" t="s">
        <v>8</v>
      </c>
      <c r="K1" s="2" t="s">
        <v>9</v>
      </c>
      <c r="L1" s="2" t="s">
        <v>10</v>
      </c>
      <c r="M1" s="17" t="s">
        <v>11</v>
      </c>
      <c r="N1" s="5" t="s">
        <v>12</v>
      </c>
      <c r="O1" s="4" t="s">
        <v>13</v>
      </c>
      <c r="P1" s="60"/>
      <c r="Q1" s="60"/>
      <c r="R1" s="12" t="s">
        <v>14</v>
      </c>
      <c r="S1" s="11" t="s">
        <v>15</v>
      </c>
      <c r="T1" s="12" t="s">
        <v>16</v>
      </c>
      <c r="U1" s="44" t="s">
        <v>17</v>
      </c>
      <c r="V1" s="3" t="s">
        <v>1</v>
      </c>
      <c r="W1" s="8" t="s">
        <v>2</v>
      </c>
      <c r="X1" s="9" t="s">
        <v>3</v>
      </c>
      <c r="Y1" s="3" t="s">
        <v>4</v>
      </c>
      <c r="Z1" s="1" t="s">
        <v>5</v>
      </c>
      <c r="AA1" s="1" t="s">
        <v>6</v>
      </c>
      <c r="AB1" s="1" t="s">
        <v>7</v>
      </c>
      <c r="AC1" s="3" t="s">
        <v>8</v>
      </c>
      <c r="AD1" s="2" t="s">
        <v>9</v>
      </c>
      <c r="AE1" s="2" t="s">
        <v>10</v>
      </c>
      <c r="AF1" s="17" t="s">
        <v>11</v>
      </c>
      <c r="AG1" s="13" t="s">
        <v>18</v>
      </c>
      <c r="AH1" s="13" t="s">
        <v>19</v>
      </c>
    </row>
    <row r="2" spans="1:34" ht="24.75" customHeight="1" x14ac:dyDescent="0.35">
      <c r="A2" s="45" t="s">
        <v>20</v>
      </c>
      <c r="B2" s="46" t="s">
        <v>21</v>
      </c>
      <c r="C2" s="46" t="s">
        <v>22</v>
      </c>
      <c r="D2" s="46" t="s">
        <v>23</v>
      </c>
      <c r="E2" s="47" t="s">
        <v>24</v>
      </c>
      <c r="F2" s="46" t="s">
        <v>25</v>
      </c>
      <c r="G2" s="46" t="s">
        <v>26</v>
      </c>
      <c r="H2" s="46" t="s">
        <v>27</v>
      </c>
      <c r="I2" s="46" t="s">
        <v>28</v>
      </c>
      <c r="J2" s="48" t="s">
        <v>29</v>
      </c>
      <c r="K2" s="47" t="s">
        <v>30</v>
      </c>
      <c r="L2" s="49" t="s">
        <v>31</v>
      </c>
      <c r="M2" s="49" t="s">
        <v>32</v>
      </c>
      <c r="N2" s="50" t="s">
        <v>33</v>
      </c>
      <c r="O2" s="51"/>
      <c r="P2" s="52" t="s">
        <v>20</v>
      </c>
      <c r="Q2" s="53" t="s">
        <v>34</v>
      </c>
      <c r="R2" s="50" t="s">
        <v>35</v>
      </c>
      <c r="S2" s="54" t="s">
        <v>36</v>
      </c>
      <c r="T2" s="50" t="s">
        <v>37</v>
      </c>
      <c r="U2" s="46" t="s">
        <v>38</v>
      </c>
      <c r="V2" s="46" t="s">
        <v>39</v>
      </c>
      <c r="W2" s="46" t="s">
        <v>40</v>
      </c>
      <c r="X2" s="47" t="s">
        <v>41</v>
      </c>
      <c r="Y2" s="46" t="s">
        <v>42</v>
      </c>
      <c r="Z2" s="46" t="s">
        <v>43</v>
      </c>
      <c r="AA2" s="46" t="s">
        <v>44</v>
      </c>
      <c r="AB2" s="46" t="s">
        <v>45</v>
      </c>
      <c r="AC2" s="46" t="s">
        <v>46</v>
      </c>
      <c r="AD2" s="47" t="s">
        <v>47</v>
      </c>
      <c r="AE2" s="47" t="s">
        <v>48</v>
      </c>
      <c r="AF2" s="49" t="s">
        <v>49</v>
      </c>
      <c r="AG2" s="46" t="s">
        <v>50</v>
      </c>
      <c r="AH2" s="46" t="s">
        <v>51</v>
      </c>
    </row>
    <row r="3" spans="1:34" ht="24.75" customHeight="1" x14ac:dyDescent="0.35">
      <c r="A3" s="45" t="s">
        <v>34</v>
      </c>
      <c r="B3" s="55"/>
      <c r="C3" s="56" t="s">
        <v>52</v>
      </c>
      <c r="D3" s="56" t="s">
        <v>52</v>
      </c>
      <c r="E3" s="56" t="s">
        <v>21</v>
      </c>
      <c r="F3" s="56" t="s">
        <v>21</v>
      </c>
      <c r="G3" s="56" t="s">
        <v>21</v>
      </c>
      <c r="H3" s="56" t="s">
        <v>52</v>
      </c>
      <c r="I3" s="56" t="s">
        <v>52</v>
      </c>
      <c r="J3" s="56" t="s">
        <v>21</v>
      </c>
      <c r="K3" s="56" t="s">
        <v>21</v>
      </c>
      <c r="L3" s="57" t="s">
        <v>21</v>
      </c>
      <c r="M3" s="57" t="s">
        <v>21</v>
      </c>
      <c r="N3" s="50"/>
      <c r="O3" s="51" t="s">
        <v>53</v>
      </c>
      <c r="P3" s="52"/>
      <c r="Q3" s="53"/>
      <c r="R3" s="74"/>
      <c r="S3" s="58"/>
      <c r="T3" s="59"/>
      <c r="U3" s="55"/>
      <c r="V3" s="56" t="s">
        <v>38</v>
      </c>
      <c r="W3" s="56" t="s">
        <v>38</v>
      </c>
      <c r="X3" s="56" t="s">
        <v>38</v>
      </c>
      <c r="Y3" s="56" t="s">
        <v>38</v>
      </c>
      <c r="Z3" s="56" t="s">
        <v>38</v>
      </c>
      <c r="AA3" s="56" t="s">
        <v>38</v>
      </c>
      <c r="AB3" s="56" t="s">
        <v>54</v>
      </c>
      <c r="AC3" s="56" t="s">
        <v>38</v>
      </c>
      <c r="AD3" s="56" t="s">
        <v>38</v>
      </c>
      <c r="AE3" s="56" t="s">
        <v>38</v>
      </c>
      <c r="AF3" s="57" t="s">
        <v>38</v>
      </c>
      <c r="AG3" s="56"/>
      <c r="AH3" s="56"/>
    </row>
    <row r="4" spans="1:34" ht="24.75" customHeight="1" x14ac:dyDescent="0.35">
      <c r="A4" s="72" t="s">
        <v>55</v>
      </c>
      <c r="B4" s="72"/>
      <c r="C4" s="56"/>
      <c r="D4" s="56"/>
      <c r="E4" s="56"/>
      <c r="F4" s="56"/>
      <c r="G4" s="56"/>
      <c r="H4" s="56"/>
      <c r="I4" s="56"/>
      <c r="J4" s="56"/>
      <c r="K4" s="56"/>
      <c r="L4" s="57"/>
      <c r="M4" s="57"/>
      <c r="N4" s="50"/>
      <c r="O4" s="51"/>
      <c r="P4" s="73"/>
      <c r="Q4" s="53"/>
      <c r="R4" s="74"/>
      <c r="S4" s="58"/>
      <c r="T4" s="59"/>
      <c r="U4" s="55">
        <f>B4</f>
        <v>0</v>
      </c>
      <c r="V4" s="56"/>
      <c r="W4" s="56"/>
      <c r="X4" s="56"/>
      <c r="Y4" s="56"/>
      <c r="Z4" s="56"/>
      <c r="AA4" s="56"/>
      <c r="AB4" s="56"/>
      <c r="AC4" s="56"/>
      <c r="AD4" s="56"/>
      <c r="AE4" s="56"/>
      <c r="AF4" s="57"/>
      <c r="AG4" s="56">
        <f>U4</f>
        <v>0</v>
      </c>
      <c r="AH4" s="56">
        <f>U4</f>
        <v>0</v>
      </c>
    </row>
    <row r="5" spans="1:34" x14ac:dyDescent="0.35">
      <c r="C5" s="14"/>
      <c r="D5" s="14"/>
      <c r="E5" s="14"/>
      <c r="F5" s="14"/>
      <c r="G5" s="14"/>
      <c r="H5" s="14"/>
      <c r="I5" s="14"/>
      <c r="J5" s="14"/>
      <c r="K5" s="14"/>
      <c r="L5" s="14"/>
      <c r="M5" s="14"/>
      <c r="N5" s="23">
        <f>SUM(C5:M5)</f>
        <v>0</v>
      </c>
      <c r="O5" s="10" t="s">
        <v>56</v>
      </c>
      <c r="P5" s="62" t="s">
        <v>57</v>
      </c>
      <c r="Q5" s="63"/>
      <c r="R5" s="63"/>
      <c r="S5" s="24">
        <f>SUM(V5:AF5)</f>
        <v>174239.27881347644</v>
      </c>
      <c r="T5" s="37"/>
      <c r="U5" s="61"/>
      <c r="V5" s="14">
        <f>-(C6+C5)</f>
        <v>31495.538448846619</v>
      </c>
      <c r="W5" s="14">
        <f>-(D6+D5)</f>
        <v>44702.614893297017</v>
      </c>
      <c r="X5" s="14"/>
      <c r="Y5" s="14">
        <f>-(F6+F5)</f>
        <v>62009.526534263743</v>
      </c>
      <c r="Z5" s="14">
        <f>-(G6+G5)</f>
        <v>22792.630819246235</v>
      </c>
      <c r="AA5" s="14"/>
      <c r="AB5" s="14"/>
      <c r="AC5" s="14">
        <f>-(J6+J5)</f>
        <v>13238.968117822838</v>
      </c>
      <c r="AD5" s="14"/>
      <c r="AE5" s="14"/>
      <c r="AF5" s="14"/>
      <c r="AG5" s="14"/>
      <c r="AH5" s="14"/>
    </row>
    <row r="6" spans="1:34" x14ac:dyDescent="0.35">
      <c r="C6" s="14">
        <f>-V6</f>
        <v>-31495.538448846619</v>
      </c>
      <c r="D6" s="14">
        <f>-W6</f>
        <v>-44702.614893297017</v>
      </c>
      <c r="E6" s="14"/>
      <c r="F6" s="14">
        <f>-Y6</f>
        <v>-62009.526534263743</v>
      </c>
      <c r="G6" s="14">
        <f>-Z6</f>
        <v>-22792.630819246235</v>
      </c>
      <c r="H6" s="14"/>
      <c r="I6" s="14"/>
      <c r="J6" s="14">
        <f>-AC6</f>
        <v>-13238.968117822838</v>
      </c>
      <c r="K6" s="14"/>
      <c r="L6" s="18"/>
      <c r="M6" s="18"/>
      <c r="N6" s="23">
        <f t="shared" ref="N6:N15" si="0">SUM(C6:M6)</f>
        <v>-174239.27881347644</v>
      </c>
      <c r="O6" s="22" t="s">
        <v>58</v>
      </c>
      <c r="P6" s="65" t="s">
        <v>59</v>
      </c>
      <c r="Q6" s="66"/>
      <c r="R6" s="66"/>
      <c r="S6" s="24">
        <f t="shared" ref="S6:S25" si="1">SUM(V6:AF6)</f>
        <v>174239.27881347644</v>
      </c>
      <c r="T6" s="37"/>
      <c r="U6" s="61"/>
      <c r="V6" s="14">
        <f>-(C16+C8)</f>
        <v>31495.538448846619</v>
      </c>
      <c r="W6" s="14">
        <f>-(D16+D8)</f>
        <v>44702.614893297017</v>
      </c>
      <c r="X6" s="14"/>
      <c r="Y6" s="14">
        <f>-(F16+F8)</f>
        <v>62009.526534263743</v>
      </c>
      <c r="Z6" s="14">
        <f>-(G16+G8)</f>
        <v>22792.630819246235</v>
      </c>
      <c r="AA6" s="14"/>
      <c r="AB6" s="14"/>
      <c r="AC6" s="14">
        <f>-(J16+J8)</f>
        <v>13238.968117822838</v>
      </c>
      <c r="AD6" s="14"/>
      <c r="AE6" s="14"/>
      <c r="AF6" s="14"/>
      <c r="AG6" s="21">
        <f>-(N6+S6)</f>
        <v>0</v>
      </c>
      <c r="AH6" s="21"/>
    </row>
    <row r="7" spans="1:34" x14ac:dyDescent="0.35"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23">
        <f t="shared" si="0"/>
        <v>0</v>
      </c>
      <c r="O7" s="22" t="s">
        <v>60</v>
      </c>
      <c r="P7" s="67" t="s">
        <v>61</v>
      </c>
      <c r="Q7" s="66"/>
      <c r="R7" s="66"/>
      <c r="S7" s="24">
        <f t="shared" si="1"/>
        <v>26613.513877548157</v>
      </c>
      <c r="T7" s="37"/>
      <c r="U7" s="61"/>
      <c r="V7" s="14"/>
      <c r="W7" s="14"/>
      <c r="X7" s="14"/>
      <c r="Y7" s="14"/>
      <c r="Z7" s="16"/>
      <c r="AA7" s="19">
        <f>-H8</f>
        <v>7643.1631999938581</v>
      </c>
      <c r="AB7" s="19">
        <f>-I8</f>
        <v>18970.350677554299</v>
      </c>
      <c r="AC7" s="14"/>
      <c r="AD7" s="14"/>
      <c r="AE7" s="14"/>
      <c r="AF7" s="14"/>
      <c r="AG7" s="14"/>
      <c r="AH7" s="14"/>
    </row>
    <row r="8" spans="1:34" x14ac:dyDescent="0.35">
      <c r="C8" s="14">
        <f>SUM(C9:C13)</f>
        <v>-30169.015093949874</v>
      </c>
      <c r="D8" s="14">
        <f t="shared" ref="D8:M8" si="2">SUM(D9:D13)</f>
        <v>-44700.855730753741</v>
      </c>
      <c r="E8" s="14">
        <f t="shared" si="2"/>
        <v>-6819.2931739374289</v>
      </c>
      <c r="F8" s="14">
        <f t="shared" si="2"/>
        <v>-31095.297050384128</v>
      </c>
      <c r="G8" s="14">
        <f t="shared" si="2"/>
        <v>-22792.630819246235</v>
      </c>
      <c r="H8" s="14">
        <f t="shared" si="2"/>
        <v>-7643.1631999938581</v>
      </c>
      <c r="I8" s="14">
        <f t="shared" si="2"/>
        <v>-18970.350677554299</v>
      </c>
      <c r="J8" s="14">
        <f t="shared" si="2"/>
        <v>-4797.737059517568</v>
      </c>
      <c r="K8" s="14">
        <f t="shared" si="2"/>
        <v>-3393.8510240073379</v>
      </c>
      <c r="L8" s="14">
        <f t="shared" si="2"/>
        <v>-385.40293992365628</v>
      </c>
      <c r="M8" s="14">
        <f t="shared" si="2"/>
        <v>0</v>
      </c>
      <c r="N8" s="23">
        <f t="shared" si="0"/>
        <v>-170767.59676926813</v>
      </c>
      <c r="O8" s="22" t="s">
        <v>62</v>
      </c>
      <c r="P8" s="67" t="s">
        <v>63</v>
      </c>
      <c r="Q8" s="66"/>
      <c r="R8" s="66"/>
      <c r="S8" s="24">
        <f t="shared" si="1"/>
        <v>104879.04534280855</v>
      </c>
      <c r="T8" s="37"/>
      <c r="U8" s="61"/>
      <c r="V8" s="14">
        <f>SUM(V9:V13)</f>
        <v>0</v>
      </c>
      <c r="W8" s="14"/>
      <c r="X8" s="14">
        <f>(E14+E8)*-1</f>
        <v>43898.038486931298</v>
      </c>
      <c r="Y8" s="14"/>
      <c r="Z8" s="14"/>
      <c r="AA8" s="14"/>
      <c r="AB8" s="14"/>
      <c r="AC8" s="14"/>
      <c r="AD8" s="14">
        <f>(K14+K8)*-1</f>
        <v>57775.135731979259</v>
      </c>
      <c r="AE8" s="14">
        <f>(L14+L8)*-1</f>
        <v>3205.8711238979904</v>
      </c>
      <c r="AF8" s="14"/>
      <c r="AG8" s="21">
        <f>-(N8+S8)</f>
        <v>65888.551426459584</v>
      </c>
      <c r="AH8" s="21">
        <f>SUM(AH9:AH13)</f>
        <v>5156.7546470163779</v>
      </c>
    </row>
    <row r="9" spans="1:34" x14ac:dyDescent="0.35">
      <c r="C9" s="26">
        <f>-($AD$9+$H$9+$I$9)/$T$9*' KF OECD total'!$I109</f>
        <v>-26302.823033748973</v>
      </c>
      <c r="D9" s="26">
        <f>-($AD$9+$H$9+$I$9)/$T$9*' KF OECD total'!$I110</f>
        <v>-22.320118351301829</v>
      </c>
      <c r="E9" s="26">
        <f>-($AD$9+$H$9+$I$9)/$T$9*' KF OECD total'!$I111</f>
        <v>-1618.5400673755901</v>
      </c>
      <c r="F9" s="26">
        <f>-($AD$9+$H$9+$I$9)/$T$9*' KF OECD total'!$I112</f>
        <v>-19361.92920030652</v>
      </c>
      <c r="G9" s="26">
        <f>-($AD$9+$H$9+$I$9)/$T$9*' KF OECD total'!$I113</f>
        <v>-22668.975171394548</v>
      </c>
      <c r="H9" s="26">
        <f>AD9*' KF OECD total'!I94*-1</f>
        <v>-7643.1631999938581</v>
      </c>
      <c r="I9" s="26">
        <f>AD9*' KF OECD total'!I95*-1</f>
        <v>-18778.441277965627</v>
      </c>
      <c r="J9" s="26">
        <f>-($AD$9+$H$9+$I$9)/$T$9*' KF OECD total'!$I114</f>
        <v>-2301.0053098754943</v>
      </c>
      <c r="K9" s="25"/>
      <c r="L9" s="25"/>
      <c r="M9" s="25"/>
      <c r="N9" s="23">
        <f t="shared" si="0"/>
        <v>-98697.197379011894</v>
      </c>
      <c r="O9" s="6" t="s">
        <v>64</v>
      </c>
      <c r="P9" s="68" t="s">
        <v>65</v>
      </c>
      <c r="Q9" s="69" t="s">
        <v>63</v>
      </c>
      <c r="R9" s="69"/>
      <c r="S9" s="24">
        <f t="shared" si="1"/>
        <v>53652.689365616083</v>
      </c>
      <c r="T9" s="37">
        <f>' KF OECD total'!I104</f>
        <v>0.37676736771895902</v>
      </c>
      <c r="U9" s="61"/>
      <c r="V9" s="28"/>
      <c r="W9" s="28"/>
      <c r="X9" s="28"/>
      <c r="Y9" s="28"/>
      <c r="Z9" s="28"/>
      <c r="AA9" s="28"/>
      <c r="AB9" s="28"/>
      <c r="AC9" s="28"/>
      <c r="AD9" s="28">
        <f>AD8-AD10</f>
        <v>53652.689365616083</v>
      </c>
      <c r="AE9" s="28"/>
      <c r="AF9" s="28"/>
      <c r="AG9" s="29">
        <f>-(S9+N9)</f>
        <v>45044.508013395811</v>
      </c>
      <c r="AH9" s="29">
        <f>-(C9*Emissionsfaktorer!$B$2*(1-' KF OECD total'!I134)+D9*Emissionsfaktorer!$B$3+E9*Emissionsfaktorer!$B$4*(1-' KF OECD total'!I135)+F9*Emissionsfaktorer!$B$5*(1-' KF OECD total'!I136)+G9*Emissionsfaktorer!$B$6+H9*Emissionsfaktorer!$B$7+I9*Emissionsfaktorer!$B$8-J9*Emissionsfaktorer!B13*' KF OECD total'!I137+K9*Emissionsfaktorer!$B$10+L9*Emissionsfaktorer!$B$11+M9*Emissionsfaktorer!$B$12)</f>
        <v>3725.407197744169</v>
      </c>
    </row>
    <row r="10" spans="1:34" x14ac:dyDescent="0.35">
      <c r="C10" s="26">
        <f>-($AD$10+$AE$10+$H$10+$I$10)/$T$10*' KF OECD total'!$I116</f>
        <v>-2948.9432836039764</v>
      </c>
      <c r="D10" s="26">
        <f>-($AD$10+$AE$10+$H$10+$I$10)/$T$10*' KF OECD total'!$I117</f>
        <v>0</v>
      </c>
      <c r="E10" s="26">
        <f>-($AD$10+$AE$10+$H$10+$I$10)/$T$10*' KF OECD total'!$I118</f>
        <v>-469.72177998686402</v>
      </c>
      <c r="F10" s="26">
        <f>-($AD$10+$AE$10+$H$10+$I$10)/$T$10*' KF OECD total'!$I119</f>
        <v>-4866.7723880206759</v>
      </c>
      <c r="G10" s="26">
        <f>-($AD$10+$AE$10+$H$10+$I$10)/$T$10*' KF OECD total'!$I120</f>
        <v>-123.65564785168506</v>
      </c>
      <c r="H10" s="26"/>
      <c r="I10" s="26">
        <f>(AD10+AE10)*' KF OECD total'!I98*-1</f>
        <v>-123.90967201558776</v>
      </c>
      <c r="J10" s="26">
        <f>-($AD$10+$AE$10+$H$10+$I$10)/$T$10*' KF OECD total'!$I121</f>
        <v>-2132.8160077828547</v>
      </c>
      <c r="K10" s="25"/>
      <c r="L10" s="25"/>
      <c r="M10" s="25"/>
      <c r="N10" s="23">
        <f t="shared" si="0"/>
        <v>-10665.818779261645</v>
      </c>
      <c r="O10" s="6" t="s">
        <v>66</v>
      </c>
      <c r="P10" s="68" t="s">
        <v>67</v>
      </c>
      <c r="Q10" s="69" t="s">
        <v>63</v>
      </c>
      <c r="R10" s="69"/>
      <c r="S10" s="24">
        <f t="shared" si="1"/>
        <v>6520.3806148045114</v>
      </c>
      <c r="T10" s="37">
        <f>' KF OECD total'!I105</f>
        <v>0.60676589768662148</v>
      </c>
      <c r="U10" s="61"/>
      <c r="V10" s="28"/>
      <c r="W10" s="28"/>
      <c r="X10" s="28"/>
      <c r="Y10" s="28"/>
      <c r="Z10" s="28"/>
      <c r="AA10" s="28"/>
      <c r="AB10" s="28"/>
      <c r="AC10" s="28"/>
      <c r="AD10" s="28">
        <f>AE10*' KF OECD total'!I90</f>
        <v>4122.446366363175</v>
      </c>
      <c r="AE10" s="28">
        <f>AE8*' KF OECD total'!I85</f>
        <v>2397.9342484413369</v>
      </c>
      <c r="AF10" s="28"/>
      <c r="AG10" s="29">
        <f t="shared" ref="AG10:AG11" si="3">-(S10+N10)</f>
        <v>4145.4381644571331</v>
      </c>
      <c r="AH10" s="29">
        <f>-(C10*Emissionsfaktorer!$B$2*(1-' KF OECD total'!I135)+D10*Emissionsfaktorer!$B$3+E10*Emissionsfaktorer!$B$4*(1-' KF OECD total'!I136)+F10*Emissionsfaktorer!$B$5*(1-' KF OECD total'!I137)+G10*Emissionsfaktorer!$B$6+H10*Emissionsfaktorer!$B$7+I10*Emissionsfaktorer!$B$8-J10*Emissionsfaktorer!B14*' KF OECD total'!I142+K10*Emissionsfaktorer!$B$10+L10*Emissionsfaktorer!$B$11+M10*Emissionsfaktorer!$B$12)</f>
        <v>593.25449333855795</v>
      </c>
    </row>
    <row r="11" spans="1:34" x14ac:dyDescent="0.35">
      <c r="C11" s="26">
        <f>-($AE$11+$H$11+$I$11)/$T$11*' KF OECD total'!$I123</f>
        <v>-147.24083244303495</v>
      </c>
      <c r="D11" s="26">
        <f>-($AE$11+$H$11+$I$11)/$T$11*' KF OECD total'!$I124</f>
        <v>0</v>
      </c>
      <c r="E11" s="26">
        <f>-($AE$11+$H$11+$I$11)/$T$11*' KF OECD total'!$I125</f>
        <v>-37.245016100542983</v>
      </c>
      <c r="F11" s="26">
        <f>-($AE$11+$H$11+$I$11)/$T$11*' KF OECD total'!$I126</f>
        <v>-358.96050824919666</v>
      </c>
      <c r="G11" s="26">
        <f>-($AE$11+$H$11+$I$11)/$T$11*' KF OECD total'!$I127</f>
        <v>0</v>
      </c>
      <c r="H11" s="26"/>
      <c r="I11" s="26">
        <f>AE11*' KF OECD total'!I101*-1</f>
        <v>-67.999727573087029</v>
      </c>
      <c r="J11" s="26">
        <f>-($AE$11+$H$11+$I$11)/$T$11*' KF OECD total'!$I128</f>
        <v>-322.5638979823791</v>
      </c>
      <c r="K11" s="28">
        <f>AE11*' KF OECD total'!I88*-1</f>
        <v>-15.907609382350365</v>
      </c>
      <c r="L11" s="25"/>
      <c r="M11" s="25"/>
      <c r="N11" s="23">
        <f t="shared" si="0"/>
        <v>-949.9175917305912</v>
      </c>
      <c r="O11" s="6" t="s">
        <v>68</v>
      </c>
      <c r="P11" s="64" t="s">
        <v>69</v>
      </c>
      <c r="Q11" s="69" t="s">
        <v>63</v>
      </c>
      <c r="R11" s="69"/>
      <c r="S11" s="24">
        <f t="shared" si="1"/>
        <v>807.93687545665341</v>
      </c>
      <c r="T11" s="37">
        <f>' KF OECD total'!I106</f>
        <v>0.85442076904237085</v>
      </c>
      <c r="U11" s="61"/>
      <c r="V11" s="28"/>
      <c r="W11" s="28"/>
      <c r="X11" s="28"/>
      <c r="Y11" s="28"/>
      <c r="Z11" s="28"/>
      <c r="AA11" s="28"/>
      <c r="AB11" s="28"/>
      <c r="AC11" s="28"/>
      <c r="AD11" s="28"/>
      <c r="AE11" s="28">
        <f>AE8*' KF OECD total'!I86</f>
        <v>807.93687545665341</v>
      </c>
      <c r="AF11" s="28"/>
      <c r="AG11" s="29">
        <f t="shared" si="3"/>
        <v>141.98071627393779</v>
      </c>
      <c r="AH11" s="29">
        <f>-(C11*Emissionsfaktorer!$B$2+D11*Emissionsfaktorer!$B$3+E11*Emissionsfaktorer!$B$4+F11*Emissionsfaktorer!$B$5+G11*Emissionsfaktorer!$B$6+H11*Emissionsfaktorer!$B$7+I11*Emissionsfaktorer!$B$8+J11*Emissionsfaktorer!$B$9+K11*Emissionsfaktorer!$B$10+L11*Emissionsfaktorer!$B$11+M11*Emissionsfaktorer!$B$12)</f>
        <v>37.279249275933793</v>
      </c>
    </row>
    <row r="12" spans="1:34" x14ac:dyDescent="0.35">
      <c r="C12" s="26"/>
      <c r="D12" s="26">
        <f>-X12/T12*' KF OECD total'!I130</f>
        <v>-44674.358184360397</v>
      </c>
      <c r="E12" s="25"/>
      <c r="F12" s="26"/>
      <c r="G12" s="26"/>
      <c r="H12" s="26"/>
      <c r="I12" s="26"/>
      <c r="J12" s="27">
        <f>-X12/T12*' KF OECD total'!I131</f>
        <v>0</v>
      </c>
      <c r="K12" s="25"/>
      <c r="L12" s="25"/>
      <c r="M12" s="25"/>
      <c r="N12" s="23">
        <f t="shared" si="0"/>
        <v>-44674.358184360397</v>
      </c>
      <c r="O12" s="6" t="s">
        <v>70</v>
      </c>
      <c r="P12" s="64" t="s">
        <v>71</v>
      </c>
      <c r="Q12" s="69" t="s">
        <v>63</v>
      </c>
      <c r="R12" s="69"/>
      <c r="S12" s="24">
        <f t="shared" si="1"/>
        <v>43898.038486931298</v>
      </c>
      <c r="T12" s="37">
        <f>' KF OECD total'!I107</f>
        <v>0.98262270060544776</v>
      </c>
      <c r="U12" s="61"/>
      <c r="V12" s="28"/>
      <c r="W12" s="28"/>
      <c r="X12" s="28">
        <f>-(E9+E10+E11+E13+E14)</f>
        <v>43898.038486931298</v>
      </c>
      <c r="Y12" s="28"/>
      <c r="Z12" s="28"/>
      <c r="AA12" s="28"/>
      <c r="AB12" s="28"/>
      <c r="AC12" s="28"/>
      <c r="AD12" s="28"/>
      <c r="AE12" s="28"/>
      <c r="AF12" s="28"/>
      <c r="AG12" s="29">
        <f>-(S12+N12)</f>
        <v>776.3196974290986</v>
      </c>
      <c r="AH12" s="29">
        <f>J12*Emissionsfaktorer!B4</f>
        <v>0</v>
      </c>
    </row>
    <row r="13" spans="1:34" x14ac:dyDescent="0.35">
      <c r="C13" s="28">
        <f>N13*' KF OECD total'!I79</f>
        <v>-770.00794415388873</v>
      </c>
      <c r="D13" s="28">
        <f>N13*' KF OECD total'!I81</f>
        <v>-4.1774280420418233</v>
      </c>
      <c r="E13" s="28">
        <f>N13*' KF OECD total'!I82</f>
        <v>-4693.786310474431</v>
      </c>
      <c r="F13" s="28">
        <f>N13*' KF OECD total'!I80</f>
        <v>-6507.6349538077357</v>
      </c>
      <c r="G13" s="28"/>
      <c r="H13" s="28"/>
      <c r="I13" s="28"/>
      <c r="J13" s="36">
        <f>N13*' KF OECD total'!I83</f>
        <v>-41.351843876840967</v>
      </c>
      <c r="K13" s="28">
        <f>N13*' KF OECD total'!I77</f>
        <v>-3377.9434146249873</v>
      </c>
      <c r="L13" s="28">
        <f>N13*' KF OECD total'!I78</f>
        <v>-385.40293992365628</v>
      </c>
      <c r="M13" s="25"/>
      <c r="N13" s="23">
        <f>N16*' KF OECD total'!I75</f>
        <v>-15780.304834903582</v>
      </c>
      <c r="O13" s="6" t="s">
        <v>72</v>
      </c>
      <c r="P13" s="64" t="s">
        <v>73</v>
      </c>
      <c r="Q13" s="69" t="s">
        <v>63</v>
      </c>
      <c r="R13" s="69"/>
      <c r="S13" s="24">
        <f t="shared" si="1"/>
        <v>0</v>
      </c>
      <c r="T13" s="37">
        <v>0</v>
      </c>
      <c r="U13" s="61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9">
        <f>-(S13+N13)</f>
        <v>15780.304834903582</v>
      </c>
      <c r="AH13" s="29">
        <f>-(C13*Emissionsfaktorer!$B$2+D13*Emissionsfaktorer!$B$3+E13*Emissionsfaktorer!$B$4+F13*Emissionsfaktorer!$B$5+G13*Emissionsfaktorer!$B$6+H13*Emissionsfaktorer!$B$7+I13*Emissionsfaktorer!$B$8+J13*Emissionsfaktorer!$B$9+K13*Emissionsfaktorer!$B$10+L13*Emissionsfaktorer!$B$11+M13*Emissionsfaktorer!$B$12)</f>
        <v>800.81370665771715</v>
      </c>
    </row>
    <row r="14" spans="1:34" x14ac:dyDescent="0.35">
      <c r="C14" s="15"/>
      <c r="D14" s="15"/>
      <c r="E14" s="16">
        <f>-X14*1</f>
        <v>-37078.745312993873</v>
      </c>
      <c r="F14" s="15"/>
      <c r="G14" s="15"/>
      <c r="H14" s="15"/>
      <c r="I14" s="15"/>
      <c r="J14" s="20"/>
      <c r="K14" s="16">
        <f>-AD14*(1+' KF OECD total'!I72)</f>
        <v>-54381.284707971921</v>
      </c>
      <c r="L14" s="16">
        <f>-AE14*(1+' KF OECD total'!I73)</f>
        <v>-2820.4681839743344</v>
      </c>
      <c r="M14" s="16"/>
      <c r="N14" s="23">
        <f t="shared" si="0"/>
        <v>-94280.498204940115</v>
      </c>
      <c r="O14" s="22" t="s">
        <v>74</v>
      </c>
      <c r="P14" s="66" t="s">
        <v>75</v>
      </c>
      <c r="Q14" s="70"/>
      <c r="R14" s="70"/>
      <c r="S14" s="24">
        <f t="shared" si="1"/>
        <v>90759.786087808723</v>
      </c>
      <c r="T14" s="37"/>
      <c r="U14" s="61"/>
      <c r="V14" s="16"/>
      <c r="W14" s="16"/>
      <c r="X14" s="16">
        <f>-E16</f>
        <v>37078.745312993873</v>
      </c>
      <c r="Y14" s="16"/>
      <c r="Z14" s="16"/>
      <c r="AA14" s="16"/>
      <c r="AB14" s="16"/>
      <c r="AC14" s="16"/>
      <c r="AD14" s="16">
        <f>-K16</f>
        <v>51121.758032415288</v>
      </c>
      <c r="AE14" s="16">
        <f>-L16</f>
        <v>2559.2827423995586</v>
      </c>
      <c r="AF14" s="16"/>
      <c r="AG14" s="21">
        <f>-(N14+S14)</f>
        <v>3520.712117131392</v>
      </c>
      <c r="AH14" s="21"/>
    </row>
    <row r="15" spans="1:34" x14ac:dyDescent="0.35"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23">
        <f t="shared" si="0"/>
        <v>0</v>
      </c>
      <c r="O15" s="22" t="s">
        <v>76</v>
      </c>
      <c r="P15" s="67" t="s">
        <v>77</v>
      </c>
      <c r="Q15" s="66"/>
      <c r="R15" s="66"/>
      <c r="S15" s="24">
        <f t="shared" si="1"/>
        <v>402.39311328617868</v>
      </c>
      <c r="T15" s="37"/>
      <c r="U15" s="61"/>
      <c r="V15" s="14"/>
      <c r="W15" s="14"/>
      <c r="X15" s="14"/>
      <c r="Y15" s="14"/>
      <c r="Z15" s="14"/>
      <c r="AA15" s="14"/>
      <c r="AB15" s="14">
        <f>I16*-1</f>
        <v>402.39311328617868</v>
      </c>
      <c r="AC15" s="14"/>
      <c r="AD15" s="14"/>
      <c r="AE15" s="14"/>
      <c r="AF15" s="14"/>
      <c r="AG15" s="14"/>
      <c r="AH15" s="14"/>
    </row>
    <row r="16" spans="1:34" x14ac:dyDescent="0.35">
      <c r="C16" s="14">
        <f t="shared" ref="C16:M16" si="4">SUM(C17:C19)</f>
        <v>-1326.5233548967431</v>
      </c>
      <c r="D16" s="14">
        <f t="shared" si="4"/>
        <v>-1.7591625432783553</v>
      </c>
      <c r="E16" s="14">
        <f t="shared" si="4"/>
        <v>-37078.745312993873</v>
      </c>
      <c r="F16" s="14">
        <f t="shared" si="4"/>
        <v>-30914.229483879619</v>
      </c>
      <c r="G16" s="14">
        <f t="shared" si="4"/>
        <v>0</v>
      </c>
      <c r="H16" s="14">
        <f t="shared" si="4"/>
        <v>0</v>
      </c>
      <c r="I16" s="14">
        <f t="shared" si="4"/>
        <v>-402.39311328617868</v>
      </c>
      <c r="J16" s="14">
        <f t="shared" si="4"/>
        <v>-8441.2310583052713</v>
      </c>
      <c r="K16" s="14">
        <f t="shared" si="4"/>
        <v>-51121.758032415288</v>
      </c>
      <c r="L16" s="14">
        <f t="shared" si="4"/>
        <v>-2559.2827423995586</v>
      </c>
      <c r="M16" s="14">
        <f t="shared" si="4"/>
        <v>0</v>
      </c>
      <c r="N16" s="23">
        <f>' KF OECD total'!I5</f>
        <v>-160000</v>
      </c>
      <c r="O16" s="10" t="s">
        <v>78</v>
      </c>
      <c r="P16" s="71" t="s">
        <v>79</v>
      </c>
      <c r="Q16" s="71"/>
      <c r="R16" s="71"/>
      <c r="S16" s="24">
        <f t="shared" si="1"/>
        <v>98107.805917376187</v>
      </c>
      <c r="T16" s="37"/>
      <c r="U16" s="61"/>
      <c r="V16" s="14"/>
      <c r="W16" s="14"/>
      <c r="X16" s="14"/>
      <c r="Y16" s="14"/>
      <c r="Z16" s="14"/>
      <c r="AA16" s="14"/>
      <c r="AB16" s="14"/>
      <c r="AC16" s="14"/>
      <c r="AD16" s="14"/>
      <c r="AE16" s="14"/>
      <c r="AF16" s="14">
        <f>SUM(AF17:AF19)</f>
        <v>98107.805917376187</v>
      </c>
      <c r="AG16" s="14">
        <f t="shared" ref="AG16:AH16" si="5">SUM(AG17:AG19)</f>
        <v>33738.11634334363</v>
      </c>
      <c r="AH16" s="14">
        <f t="shared" si="5"/>
        <v>4706.1154430838642</v>
      </c>
    </row>
    <row r="17" spans="3:34" x14ac:dyDescent="0.35">
      <c r="C17" s="25">
        <f>AF17*' KF OECD total'!I15/T17*' KF OECD total'!I139/' KF OECD total'!I$139*-1</f>
        <v>-768.98550016833576</v>
      </c>
      <c r="D17" s="25">
        <f>AF17*' KF OECD total'!I16/T17*' KF OECD total'!I139/' KF OECD total'!I$139*-1</f>
        <v>-1.7591625432783553</v>
      </c>
      <c r="E17" s="25">
        <f>AF17*' KF OECD total'!I17/T17*' KF OECD total'!I139/' KF OECD total'!I$139*-1</f>
        <v>-4308.2353622398305</v>
      </c>
      <c r="F17" s="25">
        <f>AF17*' KF OECD total'!I18/T17*' KF OECD total'!I139/' KF OECD total'!I$139*-1</f>
        <v>-13082.521484352015</v>
      </c>
      <c r="G17" s="25"/>
      <c r="H17" s="25"/>
      <c r="I17" s="25">
        <f>AF17*' KF OECD total'!I19/T17*' KF OECD total'!I142/' KF OECD total'!I$142*-1</f>
        <v>-21.943238039840534</v>
      </c>
      <c r="J17" s="25">
        <f>AF17*' KF OECD total'!I20*' KF OECD total'!I139/T17/' KF OECD total'!I$139*-1</f>
        <v>-3777.8478554414064</v>
      </c>
      <c r="K17" s="25">
        <f>AF17*' KF OECD total'!I21*' KF OECD total'!I141/T17/' KF OECD total'!I$141*-1</f>
        <v>-15321.102114424864</v>
      </c>
      <c r="L17" s="25">
        <f>AF17*' KF OECD total'!I22*' KF OECD total'!I142/T17/' KF OECD total'!I$142*-1</f>
        <v>-1166.8802912072163</v>
      </c>
      <c r="M17" s="25"/>
      <c r="N17" s="23">
        <f>SUM(C17:L17)</f>
        <v>-38449.275008416786</v>
      </c>
      <c r="O17" s="6" t="s">
        <v>80</v>
      </c>
      <c r="P17" s="64" t="s">
        <v>81</v>
      </c>
      <c r="Q17" s="69" t="s">
        <v>79</v>
      </c>
      <c r="R17" s="69"/>
      <c r="S17" s="24">
        <f t="shared" si="1"/>
        <v>33295.350029746573</v>
      </c>
      <c r="T17" s="37">
        <f>(' KF OECD total'!I15+' KF OECD total'!I16+' KF OECD total'!I17+' KF OECD total'!I18+' KF OECD total'!I20)*' KF OECD total'!I139+(' KF OECD total'!I19+' KF OECD total'!I22)*' KF OECD total'!I142+' KF OECD total'!I21*' KF OECD total'!I141</f>
        <v>0.86595521040274526</v>
      </c>
      <c r="U17" s="61"/>
      <c r="V17" s="25"/>
      <c r="W17" s="25"/>
      <c r="X17" s="25"/>
      <c r="Y17" s="25"/>
      <c r="Z17" s="25"/>
      <c r="AA17" s="25"/>
      <c r="AB17" s="25"/>
      <c r="AC17" s="25"/>
      <c r="AD17" s="25"/>
      <c r="AE17" s="25"/>
      <c r="AF17" s="25">
        <f>' KF OECD total'!I5*' KF OECD total'!I7*((' KF OECD total'!G15+' KF OECD total'!G16+' KF OECD total'!G17+' KF OECD total'!G18+' KF OECD total'!G20)*' KF OECD total'!G139+(' KF OECD total'!G19+' KF OECD total'!G22)*' KF OECD total'!G142+' KF OECD total'!G21*' KF OECD total'!G141)*-1</f>
        <v>33295.350029746573</v>
      </c>
      <c r="AG17" s="25">
        <f>(S17+SUM(C17:M17))*-1</f>
        <v>5153.924978670213</v>
      </c>
      <c r="AH17" s="29">
        <f>-(C17*Emissionsfaktorer!$B$2+D17*Emissionsfaktorer!$B$3+E17*Emissionsfaktorer!$B$4+F17*Emissionsfaktorer!$B$5+G17*Emissionsfaktorer!$B$6+H17*Emissionsfaktorer!$B$7+I17*Emissionsfaktorer!$B$8+J17*Emissionsfaktorer!$B$9+K17*Emissionsfaktorer!$B$10+L17*Emissionsfaktorer!$B$11+M17*Emissionsfaktorer!$B$12)</f>
        <v>1146.183234654284</v>
      </c>
    </row>
    <row r="18" spans="3:34" x14ac:dyDescent="0.35">
      <c r="C18" s="25">
        <f>AF18*' KF OECD total'!I24/T18*' KF OECD total'!I140/' KF OECD total'!I$140*-1</f>
        <v>-0.45272201321895977</v>
      </c>
      <c r="D18" s="25"/>
      <c r="E18" s="25">
        <f>AF18*' KF OECD total'!I25/T18*' KF OECD total'!I140/' KF OECD total'!I$140*-1</f>
        <v>-27980.073094708878</v>
      </c>
      <c r="F18" s="25">
        <f>AF18*' KF OECD total'!I26/T18*' KF OECD total'!I140/' KF OECD total'!I$140*-1</f>
        <v>-1072.7422227074492</v>
      </c>
      <c r="G18" s="25"/>
      <c r="H18" s="25"/>
      <c r="I18" s="25">
        <f>AF18*' KF OECD total'!I27/T18*' KF OECD total'!I142/' KF OECD total'!I$142*-1</f>
        <v>0</v>
      </c>
      <c r="J18" s="25">
        <f>AF18*' KF OECD total'!I28/T18*' KF OECD total'!I140/' KF OECD total'!I$140*-1</f>
        <v>-2013.1154937037238</v>
      </c>
      <c r="K18" s="25">
        <f>AF18*' KF OECD total'!I29/T18*' KF OECD total'!I141/' KF OECD total'!I$141*-1</f>
        <v>-13314.164371342833</v>
      </c>
      <c r="L18" s="25">
        <f>AF18*' KF OECD total'!I30/T18*' KF OECD total'!I142/' KF OECD total'!I$142*-1</f>
        <v>0</v>
      </c>
      <c r="M18" s="25"/>
      <c r="N18" s="23">
        <f>SUM(C18:L18)</f>
        <v>-44380.547904476101</v>
      </c>
      <c r="O18" s="6" t="s">
        <v>82</v>
      </c>
      <c r="P18" s="64" t="s">
        <v>83</v>
      </c>
      <c r="Q18" s="69" t="s">
        <v>79</v>
      </c>
      <c r="R18" s="69"/>
      <c r="S18" s="24">
        <f t="shared" si="1"/>
        <v>21968.371212715676</v>
      </c>
      <c r="T18" s="37">
        <f>(' KF OECD total'!I24+' KF OECD total'!I25+' KF OECD total'!I26+' KF OECD total'!I28)*' KF OECD total'!I140+(' KF OECD total'!I27+' KF OECD total'!I30)*' KF OECD total'!I142+' KF OECD total'!I29*' KF OECD total'!I141</f>
        <v>0.495</v>
      </c>
      <c r="U18" s="61"/>
      <c r="V18" s="25"/>
      <c r="W18" s="25"/>
      <c r="X18" s="25"/>
      <c r="Y18" s="25"/>
      <c r="Z18" s="25"/>
      <c r="AA18" s="25"/>
      <c r="AB18" s="25"/>
      <c r="AC18" s="25"/>
      <c r="AD18" s="25"/>
      <c r="AE18" s="25"/>
      <c r="AF18" s="25">
        <f>' KF OECD total'!I5*' KF OECD total'!I8*-1*((' KF OECD total'!G24+' KF OECD total'!G25+' KF OECD total'!G26+' KF OECD total'!G28)*' KF OECD total'!G140+(' KF OECD total'!G27+' KF OECD total'!G30)*' KF OECD total'!G142+' KF OECD total'!G29*' KF OECD total'!G141)</f>
        <v>21968.371212715676</v>
      </c>
      <c r="AG18" s="25">
        <f>(S18+SUM(C18:M18))*-1</f>
        <v>22412.176691760425</v>
      </c>
      <c r="AH18" s="29">
        <f>-(C18*Emissionsfaktorer!$B$2+D18*Emissionsfaktorer!$B$3+E18*Emissionsfaktorer!$B$4+F18*Emissionsfaktorer!$B$5+G18*Emissionsfaktorer!$B$6+H18*Emissionsfaktorer!$B$7+I18*Emissionsfaktorer!$B$8+J18*Emissionsfaktorer!$B$9+K18*Emissionsfaktorer!$B$10+L18*Emissionsfaktorer!$B$11+M18*Emissionsfaktorer!$B$12)</f>
        <v>2187.6748704834554</v>
      </c>
    </row>
    <row r="19" spans="3:34" x14ac:dyDescent="0.35">
      <c r="C19" s="25">
        <f>SUM(C20:C24)</f>
        <v>-557.08513271518837</v>
      </c>
      <c r="D19" s="25">
        <f t="shared" ref="D19:M19" si="6">SUM(D20:D24)</f>
        <v>0</v>
      </c>
      <c r="E19" s="25">
        <f t="shared" si="6"/>
        <v>-4790.4368560451685</v>
      </c>
      <c r="F19" s="25">
        <f t="shared" si="6"/>
        <v>-16758.965776820154</v>
      </c>
      <c r="G19" s="25">
        <f t="shared" si="6"/>
        <v>0</v>
      </c>
      <c r="H19" s="25">
        <f t="shared" si="6"/>
        <v>0</v>
      </c>
      <c r="I19" s="25">
        <f t="shared" si="6"/>
        <v>-380.44987524633814</v>
      </c>
      <c r="J19" s="25">
        <f t="shared" si="6"/>
        <v>-2650.2677091601399</v>
      </c>
      <c r="K19" s="25">
        <f t="shared" si="6"/>
        <v>-22486.49154664759</v>
      </c>
      <c r="L19" s="25">
        <f t="shared" si="6"/>
        <v>-1392.4024511923421</v>
      </c>
      <c r="M19" s="25">
        <f t="shared" si="6"/>
        <v>0</v>
      </c>
      <c r="N19" s="23">
        <f>SUM(N20:N24)</f>
        <v>-49016.099347826923</v>
      </c>
      <c r="O19" s="6" t="s">
        <v>84</v>
      </c>
      <c r="P19" s="64" t="s">
        <v>85</v>
      </c>
      <c r="Q19" s="69" t="s">
        <v>79</v>
      </c>
      <c r="R19" s="69"/>
      <c r="S19" s="24">
        <f t="shared" si="1"/>
        <v>42844.084674913931</v>
      </c>
      <c r="T19" s="37">
        <v>0.8</v>
      </c>
      <c r="U19" s="61"/>
      <c r="V19" s="25">
        <f>SUM(V20:V24)</f>
        <v>0</v>
      </c>
      <c r="W19" s="25">
        <f t="shared" ref="W19:AH19" si="7">SUM(W20:W24)</f>
        <v>0</v>
      </c>
      <c r="X19" s="25">
        <f t="shared" si="7"/>
        <v>0</v>
      </c>
      <c r="Y19" s="25">
        <f t="shared" si="7"/>
        <v>0</v>
      </c>
      <c r="Z19" s="25">
        <f t="shared" si="7"/>
        <v>0</v>
      </c>
      <c r="AA19" s="25">
        <f t="shared" si="7"/>
        <v>0</v>
      </c>
      <c r="AB19" s="25">
        <f t="shared" si="7"/>
        <v>0</v>
      </c>
      <c r="AC19" s="25">
        <f t="shared" si="7"/>
        <v>0</v>
      </c>
      <c r="AD19" s="25">
        <f t="shared" si="7"/>
        <v>0</v>
      </c>
      <c r="AE19" s="25">
        <f t="shared" si="7"/>
        <v>0</v>
      </c>
      <c r="AF19" s="25">
        <f t="shared" si="7"/>
        <v>42844.084674913931</v>
      </c>
      <c r="AG19" s="25">
        <f t="shared" si="7"/>
        <v>6172.0146729129901</v>
      </c>
      <c r="AH19" s="25">
        <f t="shared" si="7"/>
        <v>1372.2573379461248</v>
      </c>
    </row>
    <row r="20" spans="3:34" x14ac:dyDescent="0.35">
      <c r="C20" s="92">
        <f>AF20*' KF OECD total'!I$32/T20*' KF OECD total'!I$139/' KF OECD total'!I$139*-1</f>
        <v>-386.23327043473938</v>
      </c>
      <c r="D20" s="92"/>
      <c r="E20" s="92">
        <f>AF20*' KF OECD total'!I33/T20*' KF OECD total'!I$140/' KF OECD total'!I$140*-1</f>
        <v>-2441.695442786835</v>
      </c>
      <c r="F20" s="92">
        <f>AF20*' KF OECD total'!I$34/T20*' KF OECD total'!I$140/' KF OECD total'!I$140*-1</f>
        <v>-9257.1516210973823</v>
      </c>
      <c r="G20" s="92"/>
      <c r="H20" s="92"/>
      <c r="I20" s="92">
        <f>AF20*' KF OECD total'!I$35/T20*' KF OECD total'!I$142/' KF OECD total'!I$142*-1</f>
        <v>-244.09693754088804</v>
      </c>
      <c r="J20" s="92">
        <f>AF20*' KF OECD total'!I$36/T20*' KF OECD total'!I$140/' KF OECD total'!I$140*-1</f>
        <v>-2202.4389544323099</v>
      </c>
      <c r="K20" s="92">
        <f>AF20*' KF OECD total'!I$37/T20*' KF OECD total'!I$141/' KF OECD total'!I$141*-1</f>
        <v>-8986.39763839445</v>
      </c>
      <c r="L20" s="92">
        <f>AF20*' KF OECD total'!I$38/T20*' KF OECD total'!I$142/' KF OECD total'!I$142*-1</f>
        <v>-798.36294401652208</v>
      </c>
      <c r="M20" s="92"/>
      <c r="N20" s="23">
        <f>SUM(C20:L20)</f>
        <v>-24316.376808703124</v>
      </c>
      <c r="O20" s="84" t="s">
        <v>86</v>
      </c>
      <c r="P20" s="85" t="s">
        <v>87</v>
      </c>
      <c r="Q20" s="86" t="s">
        <v>85</v>
      </c>
      <c r="R20" s="86"/>
      <c r="S20" s="24">
        <f t="shared" si="1"/>
        <v>21009.553069033151</v>
      </c>
      <c r="T20" s="37">
        <f>(' KF OECD total'!I32+' KF OECD total'!I33+' KF OECD total'!I34+' KF OECD total'!I36)*' KF OECD total'!I139+(' KF OECD total'!I35+' KF OECD total'!I38)*' KF OECD total'!I142+' KF OECD total'!I37*' KF OECD total'!I141</f>
        <v>0.86400836910511991</v>
      </c>
      <c r="U20" s="61"/>
      <c r="V20" s="92"/>
      <c r="W20" s="92"/>
      <c r="X20" s="92"/>
      <c r="Y20" s="92"/>
      <c r="Z20" s="92"/>
      <c r="AA20" s="92"/>
      <c r="AB20" s="92"/>
      <c r="AC20" s="92"/>
      <c r="AD20" s="92"/>
      <c r="AE20" s="92"/>
      <c r="AF20" s="92">
        <f>' KF OECD total'!I5*' KF OECD total'!I9*((' KF OECD total'!G32+' KF OECD total'!G33+' KF OECD total'!G34+' KF OECD total'!G36)*' KF OECD total'!G139+(' KF OECD total'!G35+' KF OECD total'!G38)*' KF OECD total'!G142+' KF OECD total'!G37*' KF OECD total'!G141)*-1</f>
        <v>21009.553069033151</v>
      </c>
      <c r="AG20" s="92">
        <f>(N20+AF20)*-1</f>
        <v>3306.8237396699733</v>
      </c>
      <c r="AH20" s="87">
        <f>-(C20*Emissionsfaktorer!$B$2+D20*Emissionsfaktorer!$B$3+E20*Emissionsfaktorer!$B$4+F20*Emissionsfaktorer!$B$5+G20*Emissionsfaktorer!$B$6+H20*Emissionsfaktorer!$B$7+I20*Emissionsfaktorer!$B$8+J20*Emissionsfaktorer!$B$9+K20*Emissionsfaktorer!$B$10+L20*Emissionsfaktorer!$B$11+M20*Emissionsfaktorer!$B$12)</f>
        <v>749.91865674565042</v>
      </c>
    </row>
    <row r="21" spans="3:34" x14ac:dyDescent="0.35">
      <c r="C21" s="92">
        <f>AF21*' KF OECD total'!I$40/T21*' KF OECD total'!I$139/' KF OECD total'!I$139*-1</f>
        <v>-163.71762933305479</v>
      </c>
      <c r="D21" s="92"/>
      <c r="E21" s="92">
        <f>AF21*' KF OECD total'!I41/T21*' KF OECD total'!I$140/' KF OECD total'!I$140*-1</f>
        <v>-1996.1534805837596</v>
      </c>
      <c r="F21" s="92">
        <f>AF21*' KF OECD total'!I$42/T21*' KF OECD total'!I$140/' KF OECD total'!I$140*-1</f>
        <v>-7450.6541312533791</v>
      </c>
      <c r="G21" s="92"/>
      <c r="H21" s="92"/>
      <c r="I21" s="92">
        <f>AF21*' KF OECD total'!I$43/T21*' KF OECD total'!I$142/' KF OECD total'!I$142*-1</f>
        <v>-128.2329596725647</v>
      </c>
      <c r="J21" s="92">
        <f>AF21*' KF OECD total'!I$44/T21*' KF OECD total'!I$140/' KF OECD total'!I$140*-1</f>
        <v>-421.02842176533875</v>
      </c>
      <c r="K21" s="92">
        <f>AF21*' KF OECD total'!I$45/T21*' KF OECD total'!I$141/' KF OECD total'!I$141*-1</f>
        <v>-12367.721623705258</v>
      </c>
      <c r="L21" s="92">
        <f>AF21*' KF OECD total'!I$46/T21*' KF OECD total'!I$142/' KF OECD total'!I$142*-1</f>
        <v>-587.93779387208838</v>
      </c>
      <c r="M21" s="92"/>
      <c r="N21" s="23">
        <f t="shared" ref="N21:N24" si="8">SUM(C21:L21)</f>
        <v>-23115.446040185445</v>
      </c>
      <c r="O21" s="84" t="s">
        <v>88</v>
      </c>
      <c r="P21" s="85" t="s">
        <v>89</v>
      </c>
      <c r="Q21" s="86" t="s">
        <v>85</v>
      </c>
      <c r="R21" s="86"/>
      <c r="S21" s="24">
        <f t="shared" si="1"/>
        <v>20490.749226413074</v>
      </c>
      <c r="T21" s="37">
        <f>(' KF OECD total'!I40+' KF OECD total'!I41+' KF OECD total'!I42+' KF OECD total'!I44)*' KF OECD total'!I139+(' KF OECD total'!I43+' KF OECD total'!I46)*' KF OECD total'!I142+' KF OECD total'!I45*' KF OECD total'!I141</f>
        <v>0.88645268582706904</v>
      </c>
      <c r="U21" s="61"/>
      <c r="V21" s="92"/>
      <c r="W21" s="92"/>
      <c r="X21" s="92"/>
      <c r="Y21" s="92"/>
      <c r="Z21" s="92"/>
      <c r="AA21" s="92"/>
      <c r="AB21" s="92"/>
      <c r="AC21" s="92"/>
      <c r="AD21" s="92"/>
      <c r="AE21" s="92"/>
      <c r="AF21" s="92">
        <f>' KF OECD total'!I5*' KF OECD total'!I10*((' KF OECD total'!G40+' KF OECD total'!G41+' KF OECD total'!G42+' KF OECD total'!G44)*' KF OECD total'!G139+(' KF OECD total'!G43+' KF OECD total'!G46)*' KF OECD total'!G142+' KF OECD total'!G45*' KF OECD total'!G141)*-1</f>
        <v>20490.749226413074</v>
      </c>
      <c r="AG21" s="92">
        <f t="shared" ref="AG21:AG24" si="9">(N21+AF21)*-1</f>
        <v>2624.6968137723707</v>
      </c>
      <c r="AH21" s="87">
        <f>-(C21*Emissionsfaktorer!$B$2+D21*Emissionsfaktorer!$B$3+E21*Emissionsfaktorer!$B$4+F21*Emissionsfaktorer!$B$5+G21*Emissionsfaktorer!$B$6+H21*Emissionsfaktorer!$B$7+I21*Emissionsfaktorer!$B$8+J21*Emissionsfaktorer!$B$9+K21*Emissionsfaktorer!$B$10+L21*Emissionsfaktorer!$B$11+M21*Emissionsfaktorer!$B$12)</f>
        <v>591.94812479244854</v>
      </c>
    </row>
    <row r="22" spans="3:34" x14ac:dyDescent="0.35">
      <c r="C22" s="92">
        <f>AF22*' KF OECD total'!I$48/T22*' KF OECD total'!I$139/' KF OECD total'!I$139*-1</f>
        <v>0</v>
      </c>
      <c r="D22" s="92"/>
      <c r="E22" s="92">
        <f>AF22*' KF OECD total'!I49/T22*' KF OECD total'!I$140/' KF OECD total'!I$140*-1</f>
        <v>0</v>
      </c>
      <c r="F22" s="92">
        <f>AF22*' KF OECD total'!I$50/T22*' KF OECD total'!I$140/' KF OECD total'!I$140*-1</f>
        <v>0</v>
      </c>
      <c r="G22" s="92"/>
      <c r="H22" s="92"/>
      <c r="I22" s="92">
        <f>AF22*' KF OECD total'!I$51/T22*' KF OECD total'!I$142/' KF OECD total'!I$142*-1</f>
        <v>0</v>
      </c>
      <c r="J22" s="92">
        <f>AF22*' KF OECD total'!I$52/T22*' KF OECD total'!I$140/' KF OECD total'!I$140*-1</f>
        <v>0</v>
      </c>
      <c r="K22" s="92">
        <f>AF22*' KF OECD total'!I$53/T22*' KF OECD total'!I$141/' KF OECD total'!I$141*-1</f>
        <v>0</v>
      </c>
      <c r="L22" s="92">
        <f>AF22*' KF OECD total'!I$54/T22*' KF OECD total'!I$142/' KF OECD total'!I$142*-1</f>
        <v>0</v>
      </c>
      <c r="M22" s="92"/>
      <c r="N22" s="23">
        <f t="shared" si="8"/>
        <v>0</v>
      </c>
      <c r="O22" s="84" t="s">
        <v>90</v>
      </c>
      <c r="P22" s="85" t="s">
        <v>91</v>
      </c>
      <c r="Q22" s="86" t="s">
        <v>85</v>
      </c>
      <c r="R22" s="86"/>
      <c r="S22" s="24">
        <f t="shared" si="1"/>
        <v>0</v>
      </c>
      <c r="T22" s="37">
        <f>(' KF OECD total'!I48+' KF OECD total'!I49+' KF OECD total'!I50+' KF OECD total'!I52)*' KF OECD total'!I140+(' KF OECD total'!I51+' KF OECD total'!I54)*' KF OECD total'!I142+' KF OECD total'!I53*' KF OECD total'!I141</f>
        <v>0.43017948924948196</v>
      </c>
      <c r="U22" s="61"/>
      <c r="V22" s="92"/>
      <c r="W22" s="92"/>
      <c r="X22" s="92"/>
      <c r="Y22" s="92"/>
      <c r="Z22" s="92"/>
      <c r="AA22" s="92"/>
      <c r="AB22" s="92"/>
      <c r="AC22" s="92"/>
      <c r="AD22" s="92"/>
      <c r="AE22" s="92"/>
      <c r="AF22" s="92">
        <f>((' KF OECD total'!G48+' KF OECD total'!G49+' KF OECD total'!G50+' KF OECD total'!G52)*' KF OECD total'!G140+(' KF OECD total'!G51+' KF OECD total'!G54)*' KF OECD total'!G142+' KF OECD total'!G53*' KF OECD total'!G141)*' KF OECD total'!I11*' KF OECD total'!I5*-1</f>
        <v>0</v>
      </c>
      <c r="AG22" s="92">
        <f t="shared" si="9"/>
        <v>0</v>
      </c>
      <c r="AH22" s="87">
        <f>-(C22*Emissionsfaktorer!$B$2+D22*Emissionsfaktorer!$B$3+E22*Emissionsfaktorer!$B$4+F22*Emissionsfaktorer!$B$5+G22*Emissionsfaktorer!$B$6+H22*Emissionsfaktorer!$B$7+I22*Emissionsfaktorer!$B$8+J22*Emissionsfaktorer!$B$9+K22*Emissionsfaktorer!$B$10+L22*Emissionsfaktorer!$B$11+M22*Emissionsfaktorer!$B$12)</f>
        <v>0</v>
      </c>
    </row>
    <row r="23" spans="3:34" x14ac:dyDescent="0.35">
      <c r="C23" s="92">
        <f>AF23*' KF OECD total'!I$56/T23*' KF OECD total'!I$139/' KF OECD total'!I$139*-1</f>
        <v>-4.6937393730806985E-2</v>
      </c>
      <c r="D23" s="92"/>
      <c r="E23" s="92">
        <f>AF23*' KF OECD total'!I57/T23*' KF OECD total'!I$140/' KF OECD total'!I$140*-1</f>
        <v>-189.62707067246023</v>
      </c>
      <c r="F23" s="92">
        <f>AF23*' KF OECD total'!I$58/T23*' KF OECD total'!I$140/' KF OECD total'!I$140*-1</f>
        <v>-2.1591201116171215</v>
      </c>
      <c r="G23" s="92"/>
      <c r="H23" s="92"/>
      <c r="I23" s="92">
        <f>AF23*' KF OECD total'!I$59/T23*' KF OECD total'!I$142/' KF OECD total'!I$142*-1</f>
        <v>-2.7223688363868055</v>
      </c>
      <c r="J23" s="92">
        <f>AF23*' KF OECD total'!I$60/T23*' KF OECD total'!I$140/' KF OECD total'!I$140*-1</f>
        <v>-0.84487308715452591</v>
      </c>
      <c r="K23" s="92">
        <f>AF23*' KF OECD total'!I$61/T23*' KF OECD total'!I$141/' KF OECD total'!I$141*-1</f>
        <v>-22.905448140633826</v>
      </c>
      <c r="L23" s="92">
        <f>AF23*' KF OECD total'!I$62/T23*' KF OECD total'!I$142/' KF OECD total'!I$142*-1</f>
        <v>-1.9244331429630865</v>
      </c>
      <c r="M23" s="92"/>
      <c r="N23" s="23">
        <f t="shared" si="8"/>
        <v>-220.23025138494643</v>
      </c>
      <c r="O23" s="84" t="s">
        <v>92</v>
      </c>
      <c r="P23" s="85" t="s">
        <v>93</v>
      </c>
      <c r="Q23" s="86" t="s">
        <v>85</v>
      </c>
      <c r="R23" s="86"/>
      <c r="S23" s="24">
        <f t="shared" si="1"/>
        <v>84.21037809244082</v>
      </c>
      <c r="T23" s="37">
        <f>(' KF OECD total'!I56+' KF OECD total'!I57+' KF OECD total'!I58+' KF OECD total'!I60)*' KF OECD total'!I140+(' KF OECD total'!I59+' KF OECD total'!I62)*' KF OECD total'!I142+' KF OECD total'!I61*' KF OECD total'!I141</f>
        <v>0.38237425404944586</v>
      </c>
      <c r="U23" s="61"/>
      <c r="V23" s="92"/>
      <c r="W23" s="92"/>
      <c r="X23" s="92"/>
      <c r="Y23" s="92"/>
      <c r="Z23" s="92"/>
      <c r="AA23" s="92"/>
      <c r="AB23" s="92"/>
      <c r="AC23" s="92"/>
      <c r="AD23" s="92"/>
      <c r="AE23" s="92"/>
      <c r="AF23" s="92">
        <f>((' KF OECD total'!G56+' KF OECD total'!G57+' KF OECD total'!G58+' KF OECD total'!G60)*' KF OECD total'!G140+(' KF OECD total'!G59+' KF OECD total'!G62)*' KF OECD total'!G142+' KF OECD total'!G61*' KF OECD total'!G141)*' KF OECD total'!I5*' KF OECD total'!I12*-1</f>
        <v>84.21037809244082</v>
      </c>
      <c r="AG23" s="92">
        <f t="shared" si="9"/>
        <v>136.01987329250562</v>
      </c>
      <c r="AH23" s="87">
        <f>-(C23*Emissionsfaktorer!$B$2+D23*Emissionsfaktorer!$B$3+E23*Emissionsfaktorer!$B$4+F23*Emissionsfaktorer!$B$5+G23*Emissionsfaktorer!$B$6+H23*Emissionsfaktorer!$B$7+I23*Emissionsfaktorer!$B$8+J23*Emissionsfaktorer!$B$9+K23*Emissionsfaktorer!$B$10+L23*Emissionsfaktorer!$B$11+M23*Emissionsfaktorer!$B$12)</f>
        <v>14.53918626987358</v>
      </c>
    </row>
    <row r="24" spans="3:34" x14ac:dyDescent="0.35">
      <c r="C24" s="92">
        <f>AF24*' KF OECD total'!I$64/T24*' KF OECD total'!I$139/' KF OECD total'!I$139*-1</f>
        <v>-7.0872955536633517</v>
      </c>
      <c r="D24" s="92"/>
      <c r="E24" s="92">
        <f>AF24*' KF OECD total'!I65/T24*' KF OECD total'!I$140/' KF OECD total'!I$140*-1</f>
        <v>-162.9608620021136</v>
      </c>
      <c r="F24" s="92">
        <f>AF24*' KF OECD total'!I$66/T24*' KF OECD total'!I$140/' KF OECD total'!I$140*-1</f>
        <v>-49.000904357778396</v>
      </c>
      <c r="G24" s="92"/>
      <c r="H24" s="92"/>
      <c r="I24" s="92">
        <f>AF24*' KF OECD total'!I$67/T24*' KF OECD total'!I$142/' KF OECD total'!I$142*-1</f>
        <v>-5.3976091964985793</v>
      </c>
      <c r="J24" s="92">
        <f>AF24*' KF OECD total'!I$68/T24*' KF OECD total'!I$140/' KF OECD total'!I$140*-1</f>
        <v>-25.955459875336643</v>
      </c>
      <c r="K24" s="92">
        <f>AF24*' KF OECD total'!I$69/T24*' KF OECD total'!I$141/' KF OECD total'!I$141*-1</f>
        <v>-1109.466836407247</v>
      </c>
      <c r="L24" s="92">
        <f>AF24*' KF OECD total'!I$70/T24*' KF OECD total'!I$142/' KF OECD total'!I$142*-1</f>
        <v>-4.1772801607684649</v>
      </c>
      <c r="M24" s="92"/>
      <c r="N24" s="23">
        <f t="shared" si="8"/>
        <v>-1364.0462475534061</v>
      </c>
      <c r="O24" s="84" t="s">
        <v>94</v>
      </c>
      <c r="P24" s="85" t="s">
        <v>95</v>
      </c>
      <c r="Q24" s="86" t="s">
        <v>85</v>
      </c>
      <c r="R24" s="86"/>
      <c r="S24" s="24">
        <f t="shared" si="1"/>
        <v>1259.5720013752652</v>
      </c>
      <c r="T24" s="37">
        <f>(' KF OECD total'!I64+' KF OECD total'!I65+' KF OECD total'!I66+' KF OECD total'!I68)*' KF OECD total'!I139+(' KF OECD total'!I67+' KF OECD total'!I70)*' KF OECD total'!I142+' KF OECD total'!I69*' KF OECD total'!I141</f>
        <v>0.92340857477117888</v>
      </c>
      <c r="U24" s="61"/>
      <c r="V24" s="92"/>
      <c r="W24" s="92"/>
      <c r="X24" s="92"/>
      <c r="Y24" s="92"/>
      <c r="Z24" s="92"/>
      <c r="AA24" s="92"/>
      <c r="AB24" s="92"/>
      <c r="AC24" s="92"/>
      <c r="AD24" s="92"/>
      <c r="AE24" s="92"/>
      <c r="AF24" s="92">
        <f>((' KF OECD total'!G64+' KF OECD total'!G65+' KF OECD total'!G66+' KF OECD total'!G68)*' KF OECD total'!G139+(' KF OECD total'!G67+' KF OECD total'!G70)*' KF OECD total'!G142+' KF OECD total'!G69*' KF OECD total'!G141)*' KF OECD total'!I5*' KF OECD total'!I13*-1</f>
        <v>1259.5720013752652</v>
      </c>
      <c r="AG24" s="92">
        <f t="shared" si="9"/>
        <v>104.4742461781409</v>
      </c>
      <c r="AH24" s="87">
        <f>-(C24*Emissionsfaktorer!$B$2+D24*Emissionsfaktorer!$B$3+E24*Emissionsfaktorer!$B$4+F24*Emissionsfaktorer!$B$5+G24*Emissionsfaktorer!$B$6+H24*Emissionsfaktorer!$B$7+I24*Emissionsfaktorer!$B$8+J24*Emissionsfaktorer!$B$9+K24*Emissionsfaktorer!$B$10+L24*Emissionsfaktorer!$B$11+M24*Emissionsfaktorer!$B$12)</f>
        <v>15.851370138152019</v>
      </c>
    </row>
    <row r="25" spans="3:34" x14ac:dyDescent="0.35"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23">
        <f>N16</f>
        <v>-160000</v>
      </c>
      <c r="O25" s="10" t="s">
        <v>11</v>
      </c>
      <c r="P25" s="71" t="s">
        <v>96</v>
      </c>
      <c r="Q25" s="71"/>
      <c r="R25" s="71"/>
      <c r="S25" s="24">
        <f t="shared" si="1"/>
        <v>98107.805917376187</v>
      </c>
      <c r="T25" s="37">
        <f>AF25/N25*-1</f>
        <v>0.61317378698360114</v>
      </c>
      <c r="U25" s="61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>
        <f>AF16</f>
        <v>98107.805917376187</v>
      </c>
      <c r="AG25" s="14">
        <f>-(S25+N25)</f>
        <v>61892.194082623813</v>
      </c>
      <c r="AH25" s="14"/>
    </row>
    <row r="28" spans="3:34" x14ac:dyDescent="0.35">
      <c r="X28" s="95"/>
    </row>
    <row r="29" spans="3:34" x14ac:dyDescent="0.35">
      <c r="X29" s="95"/>
    </row>
    <row r="30" spans="3:34" x14ac:dyDescent="0.35">
      <c r="D30" s="40">
        <f>'KF World'!D125</f>
        <v>0.6675160142348755</v>
      </c>
      <c r="X30" s="95"/>
    </row>
  </sheetData>
  <pageMargins left="0.7" right="0.7" top="0.75" bottom="0.75" header="0.3" footer="0.3"/>
  <pageSetup paperSize="9" orientation="portrait" horizontalDpi="4294967293" verticalDpi="4294967293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L32"/>
  <sheetViews>
    <sheetView zoomScale="66" zoomScaleNormal="66" workbookViewId="0">
      <selection activeCell="A3" sqref="A3:L30"/>
    </sheetView>
  </sheetViews>
  <sheetFormatPr defaultRowHeight="14.5" x14ac:dyDescent="0.35"/>
  <cols>
    <col min="1" max="1" width="36.54296875" customWidth="1"/>
    <col min="2" max="2" width="14.26953125" customWidth="1"/>
    <col min="3" max="3" width="14.1796875" customWidth="1"/>
    <col min="4" max="4" width="15" customWidth="1"/>
    <col min="5" max="5" width="13.453125" customWidth="1"/>
    <col min="6" max="6" width="13.7265625" customWidth="1"/>
    <col min="7" max="7" width="14.26953125" customWidth="1"/>
    <col min="8" max="8" width="26.26953125" customWidth="1"/>
    <col min="9" max="9" width="20.453125" customWidth="1"/>
    <col min="10" max="10" width="10.7265625" customWidth="1"/>
    <col min="11" max="11" width="12.81640625" customWidth="1"/>
    <col min="12" max="12" width="17.54296875" customWidth="1"/>
  </cols>
  <sheetData>
    <row r="1" spans="1:12" ht="30.75" customHeight="1" x14ac:dyDescent="0.35">
      <c r="B1" t="s">
        <v>214</v>
      </c>
      <c r="C1" t="s">
        <v>2</v>
      </c>
      <c r="D1" t="s">
        <v>215</v>
      </c>
      <c r="E1" t="s">
        <v>216</v>
      </c>
      <c r="F1" t="s">
        <v>5</v>
      </c>
      <c r="G1" t="s">
        <v>6</v>
      </c>
      <c r="H1" t="s">
        <v>217</v>
      </c>
      <c r="I1" t="s">
        <v>8</v>
      </c>
      <c r="J1" t="s">
        <v>9</v>
      </c>
      <c r="K1" t="s">
        <v>10</v>
      </c>
      <c r="L1" t="s">
        <v>218</v>
      </c>
    </row>
    <row r="2" spans="1:12" x14ac:dyDescent="0.35">
      <c r="B2" t="s">
        <v>219</v>
      </c>
      <c r="C2" t="s">
        <v>219</v>
      </c>
      <c r="D2" t="s">
        <v>219</v>
      </c>
      <c r="E2" t="s">
        <v>219</v>
      </c>
      <c r="F2" t="s">
        <v>219</v>
      </c>
      <c r="G2" t="s">
        <v>219</v>
      </c>
      <c r="H2" t="s">
        <v>219</v>
      </c>
      <c r="I2" t="s">
        <v>219</v>
      </c>
      <c r="J2" t="s">
        <v>219</v>
      </c>
      <c r="K2" t="s">
        <v>219</v>
      </c>
      <c r="L2" t="s">
        <v>219</v>
      </c>
    </row>
    <row r="3" spans="1:12" x14ac:dyDescent="0.35">
      <c r="A3" t="s">
        <v>17</v>
      </c>
      <c r="B3" s="7">
        <v>2278274</v>
      </c>
      <c r="C3" s="7">
        <v>3707551</v>
      </c>
      <c r="D3" s="7"/>
      <c r="E3" s="7">
        <v>2064486</v>
      </c>
      <c r="F3" s="7">
        <v>675467</v>
      </c>
      <c r="G3" s="7">
        <v>224663</v>
      </c>
      <c r="H3" s="7">
        <v>60262</v>
      </c>
      <c r="I3" s="7">
        <v>1013596</v>
      </c>
      <c r="J3" s="7"/>
      <c r="K3" s="7">
        <v>689</v>
      </c>
      <c r="L3" s="7">
        <v>10024988</v>
      </c>
    </row>
    <row r="4" spans="1:12" x14ac:dyDescent="0.35">
      <c r="A4" t="s">
        <v>220</v>
      </c>
      <c r="B4" s="7">
        <v>409119</v>
      </c>
      <c r="C4" s="7">
        <v>2075573</v>
      </c>
      <c r="D4" s="7">
        <v>720657</v>
      </c>
      <c r="E4" s="7">
        <v>534897</v>
      </c>
      <c r="F4" s="7"/>
      <c r="G4" s="7"/>
      <c r="H4" s="7"/>
      <c r="I4" s="7">
        <v>1256</v>
      </c>
      <c r="J4" s="7">
        <v>44892</v>
      </c>
      <c r="K4" s="7">
        <v>3</v>
      </c>
      <c r="L4" s="7">
        <v>3786396</v>
      </c>
    </row>
    <row r="5" spans="1:12" x14ac:dyDescent="0.35">
      <c r="A5" t="s">
        <v>221</v>
      </c>
      <c r="B5" s="7">
        <v>-411503</v>
      </c>
      <c r="C5" s="7">
        <v>-2027230</v>
      </c>
      <c r="D5" s="7">
        <v>-790476</v>
      </c>
      <c r="E5" s="7">
        <v>-540283</v>
      </c>
      <c r="F5" s="7"/>
      <c r="G5" s="7"/>
      <c r="H5" s="7"/>
      <c r="I5" s="7">
        <v>-1141</v>
      </c>
      <c r="J5" s="7">
        <v>-44027</v>
      </c>
      <c r="K5" s="7">
        <v>-7</v>
      </c>
      <c r="L5" s="7">
        <v>-3814666</v>
      </c>
    </row>
    <row r="6" spans="1:12" x14ac:dyDescent="0.35">
      <c r="A6" t="s">
        <v>222</v>
      </c>
      <c r="B6" s="7"/>
      <c r="C6" s="7"/>
      <c r="D6" s="7"/>
      <c r="E6" s="7"/>
      <c r="F6" s="7"/>
      <c r="G6" s="7"/>
      <c r="H6" s="7"/>
      <c r="I6" s="7"/>
      <c r="J6" s="7"/>
      <c r="K6" s="7"/>
      <c r="L6" s="7"/>
    </row>
    <row r="7" spans="1:12" x14ac:dyDescent="0.35">
      <c r="A7" t="s">
        <v>223</v>
      </c>
      <c r="B7" s="7"/>
      <c r="C7" s="7"/>
      <c r="D7" s="7"/>
      <c r="E7" s="7"/>
      <c r="F7" s="7"/>
      <c r="G7" s="7"/>
      <c r="H7" s="7"/>
      <c r="I7" s="7"/>
      <c r="J7" s="7"/>
      <c r="K7" s="7"/>
      <c r="L7" s="7"/>
    </row>
    <row r="8" spans="1:12" x14ac:dyDescent="0.35">
      <c r="A8" t="s">
        <v>224</v>
      </c>
      <c r="B8" s="7">
        <v>41245</v>
      </c>
      <c r="C8" s="7">
        <v>-4228</v>
      </c>
      <c r="D8" s="7">
        <v>-12370</v>
      </c>
      <c r="E8" s="7">
        <v>12134</v>
      </c>
      <c r="F8" s="7"/>
      <c r="G8" s="7"/>
      <c r="H8" s="7"/>
      <c r="I8" s="7">
        <v>948</v>
      </c>
      <c r="J8" s="7"/>
      <c r="K8" s="7"/>
      <c r="L8" s="7">
        <v>37729</v>
      </c>
    </row>
    <row r="9" spans="1:12" x14ac:dyDescent="0.35">
      <c r="A9" t="s">
        <v>225</v>
      </c>
      <c r="B9" s="7">
        <v>2317134</v>
      </c>
      <c r="C9" s="7">
        <v>3751665</v>
      </c>
      <c r="D9" s="7">
        <v>-82188</v>
      </c>
      <c r="E9" s="7">
        <v>2071233</v>
      </c>
      <c r="F9" s="7">
        <v>675467</v>
      </c>
      <c r="G9" s="7">
        <v>224663</v>
      </c>
      <c r="H9" s="7">
        <v>60262</v>
      </c>
      <c r="I9" s="7">
        <v>1014659</v>
      </c>
      <c r="J9" s="7">
        <v>865</v>
      </c>
      <c r="K9" s="7">
        <v>686</v>
      </c>
      <c r="L9" s="7">
        <v>10034446</v>
      </c>
    </row>
    <row r="10" spans="1:12" x14ac:dyDescent="0.35">
      <c r="A10" t="s">
        <v>226</v>
      </c>
      <c r="B10" s="7"/>
      <c r="C10" s="7">
        <v>-136765</v>
      </c>
      <c r="D10" s="7">
        <v>157098</v>
      </c>
      <c r="E10" s="7"/>
      <c r="F10" s="7"/>
      <c r="G10" s="7"/>
      <c r="H10" s="7"/>
      <c r="I10" s="7"/>
      <c r="J10" s="7"/>
      <c r="K10" s="7"/>
      <c r="L10" s="7">
        <v>20333</v>
      </c>
    </row>
    <row r="11" spans="1:12" x14ac:dyDescent="0.35">
      <c r="A11" t="s">
        <v>227</v>
      </c>
      <c r="B11" s="7">
        <v>19381</v>
      </c>
      <c r="C11" s="7">
        <v>-15466</v>
      </c>
      <c r="D11" s="7">
        <v>31344</v>
      </c>
      <c r="E11" s="7">
        <v>-4174</v>
      </c>
      <c r="F11" s="7"/>
      <c r="G11" s="7"/>
      <c r="H11" s="7">
        <v>-109</v>
      </c>
      <c r="I11" s="7">
        <v>331</v>
      </c>
      <c r="J11" s="7">
        <v>794</v>
      </c>
      <c r="K11" s="7">
        <v>-222</v>
      </c>
      <c r="L11" s="7">
        <v>31880</v>
      </c>
    </row>
    <row r="12" spans="1:12" x14ac:dyDescent="0.35">
      <c r="A12" t="s">
        <v>228</v>
      </c>
      <c r="B12" s="7">
        <v>-1319704</v>
      </c>
      <c r="C12" s="7">
        <v>-23249</v>
      </c>
      <c r="D12" s="7">
        <v>-255495</v>
      </c>
      <c r="E12" s="7">
        <v>-409306</v>
      </c>
      <c r="F12" s="7">
        <v>-669122</v>
      </c>
      <c r="G12" s="7">
        <v>-224663</v>
      </c>
      <c r="H12" s="7">
        <v>-50163</v>
      </c>
      <c r="I12" s="7">
        <v>-25694</v>
      </c>
      <c r="J12" s="7">
        <v>1184179</v>
      </c>
      <c r="K12" s="7">
        <v>-227</v>
      </c>
      <c r="L12" s="7">
        <v>-1793443</v>
      </c>
    </row>
    <row r="13" spans="1:12" x14ac:dyDescent="0.35">
      <c r="A13" t="s">
        <v>66</v>
      </c>
      <c r="B13" s="7">
        <v>-174015</v>
      </c>
      <c r="C13" s="7">
        <v>-898</v>
      </c>
      <c r="D13" s="7">
        <v>-39768</v>
      </c>
      <c r="E13" s="7">
        <v>-240169</v>
      </c>
      <c r="F13" s="7">
        <v>-6345</v>
      </c>
      <c r="G13" s="7"/>
      <c r="H13" s="7">
        <v>-885</v>
      </c>
      <c r="I13" s="7">
        <v>-25062</v>
      </c>
      <c r="J13" s="7">
        <v>142300</v>
      </c>
      <c r="K13" s="7">
        <v>139866</v>
      </c>
      <c r="L13" s="7">
        <v>-204975</v>
      </c>
    </row>
    <row r="14" spans="1:12" x14ac:dyDescent="0.35">
      <c r="A14" t="s">
        <v>229</v>
      </c>
      <c r="B14" s="7">
        <v>-67707</v>
      </c>
      <c r="C14" s="7">
        <v>-1141</v>
      </c>
      <c r="D14" s="7">
        <v>-20469</v>
      </c>
      <c r="E14" s="7">
        <v>-97832</v>
      </c>
      <c r="F14" s="7"/>
      <c r="G14" s="7"/>
      <c r="H14" s="7">
        <v>-458</v>
      </c>
      <c r="I14" s="7">
        <v>-5811</v>
      </c>
      <c r="J14" s="7">
        <v>-524</v>
      </c>
      <c r="K14" s="7">
        <v>152004</v>
      </c>
      <c r="L14" s="7">
        <v>-41938</v>
      </c>
    </row>
    <row r="15" spans="1:12" x14ac:dyDescent="0.35">
      <c r="A15" t="s">
        <v>230</v>
      </c>
      <c r="B15" s="7">
        <v>-5784</v>
      </c>
      <c r="C15" s="7"/>
      <c r="D15" s="7">
        <v>-5333</v>
      </c>
      <c r="E15" s="7">
        <v>5771</v>
      </c>
      <c r="F15" s="7"/>
      <c r="G15" s="7"/>
      <c r="H15" s="7"/>
      <c r="I15" s="7">
        <v>-19</v>
      </c>
      <c r="J15" s="7"/>
      <c r="K15" s="7"/>
      <c r="L15" s="7">
        <v>-5366</v>
      </c>
    </row>
    <row r="16" spans="1:12" x14ac:dyDescent="0.35">
      <c r="A16" t="s">
        <v>70</v>
      </c>
      <c r="B16" s="7"/>
      <c r="C16" s="7">
        <v>-3587072</v>
      </c>
      <c r="D16" s="7">
        <v>3558431</v>
      </c>
      <c r="E16" s="7"/>
      <c r="F16" s="7"/>
      <c r="G16" s="7"/>
      <c r="H16" s="7"/>
      <c r="I16" s="7"/>
      <c r="J16" s="7"/>
      <c r="K16" s="7"/>
      <c r="L16" s="7">
        <v>-28642</v>
      </c>
    </row>
    <row r="17" spans="1:12" x14ac:dyDescent="0.35">
      <c r="A17" t="s">
        <v>231</v>
      </c>
      <c r="B17" s="7">
        <v>-152090</v>
      </c>
      <c r="C17" s="7">
        <v>52</v>
      </c>
      <c r="D17" s="7">
        <v>-3442</v>
      </c>
      <c r="E17" s="7">
        <v>-194</v>
      </c>
      <c r="F17" s="7"/>
      <c r="G17" s="7"/>
      <c r="H17" s="7"/>
      <c r="I17" s="7"/>
      <c r="J17" s="7"/>
      <c r="K17" s="7"/>
      <c r="L17" s="7">
        <v>-155675</v>
      </c>
    </row>
    <row r="18" spans="1:12" x14ac:dyDescent="0.35">
      <c r="A18" t="s">
        <v>232</v>
      </c>
      <c r="B18" s="7">
        <v>-15219</v>
      </c>
      <c r="C18" s="7">
        <v>8088</v>
      </c>
      <c r="D18" s="7"/>
      <c r="E18" s="7">
        <v>-1849</v>
      </c>
      <c r="F18" s="7"/>
      <c r="G18" s="7"/>
      <c r="H18" s="7"/>
      <c r="I18" s="7"/>
      <c r="J18" s="7"/>
      <c r="K18" s="7"/>
      <c r="L18" s="7">
        <v>-8979</v>
      </c>
    </row>
    <row r="19" spans="1:12" x14ac:dyDescent="0.35">
      <c r="A19" t="s">
        <v>233</v>
      </c>
      <c r="B19" s="7">
        <v>-142</v>
      </c>
      <c r="C19" s="7">
        <v>33194</v>
      </c>
      <c r="D19" s="7">
        <v>-32472</v>
      </c>
      <c r="E19" s="7">
        <v>-4797</v>
      </c>
      <c r="F19" s="7"/>
      <c r="G19" s="7"/>
      <c r="H19" s="7"/>
      <c r="I19" s="7">
        <v>-49755</v>
      </c>
      <c r="J19" s="7"/>
      <c r="K19" s="7">
        <v>-237</v>
      </c>
      <c r="L19" s="7">
        <v>-54209</v>
      </c>
    </row>
    <row r="20" spans="1:12" x14ac:dyDescent="0.35">
      <c r="A20" t="s">
        <v>234</v>
      </c>
      <c r="B20" s="7">
        <v>-57370</v>
      </c>
      <c r="C20" s="7">
        <v>-9600</v>
      </c>
      <c r="D20" s="7">
        <v>-200898</v>
      </c>
      <c r="E20" s="7">
        <v>-179781</v>
      </c>
      <c r="F20" s="7"/>
      <c r="G20" s="7"/>
      <c r="H20" s="7"/>
      <c r="I20" s="7">
        <v>-5675</v>
      </c>
      <c r="J20" s="7">
        <v>-118651</v>
      </c>
      <c r="K20" s="7">
        <v>-24191</v>
      </c>
      <c r="L20" s="7">
        <v>-596166</v>
      </c>
    </row>
    <row r="21" spans="1:12" x14ac:dyDescent="0.35">
      <c r="A21" t="s">
        <v>235</v>
      </c>
      <c r="B21" s="7">
        <v>-2793</v>
      </c>
      <c r="C21" s="7">
        <v>-5083</v>
      </c>
      <c r="D21" s="7">
        <v>-1071</v>
      </c>
      <c r="E21" s="7">
        <v>-19656</v>
      </c>
      <c r="F21" s="7"/>
      <c r="G21" s="7"/>
      <c r="H21" s="7">
        <v>-8</v>
      </c>
      <c r="I21" s="7">
        <v>-170</v>
      </c>
      <c r="J21" s="7">
        <v>-117167</v>
      </c>
      <c r="K21" s="7">
        <v>-19288</v>
      </c>
      <c r="L21" s="7">
        <v>-165236</v>
      </c>
    </row>
    <row r="22" spans="1:12" x14ac:dyDescent="0.35">
      <c r="A22" t="s">
        <v>131</v>
      </c>
      <c r="B22" s="7">
        <v>541691</v>
      </c>
      <c r="C22" s="7">
        <v>13726</v>
      </c>
      <c r="D22" s="7">
        <v>3105737</v>
      </c>
      <c r="E22" s="7">
        <v>1119246</v>
      </c>
      <c r="F22" s="7"/>
      <c r="G22" s="7"/>
      <c r="H22" s="7">
        <v>8639</v>
      </c>
      <c r="I22" s="7">
        <v>902805</v>
      </c>
      <c r="J22" s="7">
        <v>1091798</v>
      </c>
      <c r="K22" s="7">
        <v>248390</v>
      </c>
      <c r="L22" s="7">
        <v>7032031</v>
      </c>
    </row>
    <row r="23" spans="1:12" x14ac:dyDescent="0.35">
      <c r="A23" t="s">
        <v>80</v>
      </c>
      <c r="B23" s="7">
        <v>399555</v>
      </c>
      <c r="C23" s="7">
        <v>5275</v>
      </c>
      <c r="D23" s="7">
        <v>315598</v>
      </c>
      <c r="E23" s="7">
        <v>425310</v>
      </c>
      <c r="F23" s="7"/>
      <c r="G23" s="7"/>
      <c r="H23" s="7">
        <v>420</v>
      </c>
      <c r="I23" s="7">
        <v>160022</v>
      </c>
      <c r="J23" s="7">
        <v>464549</v>
      </c>
      <c r="K23" s="7">
        <v>100575</v>
      </c>
      <c r="L23" s="7">
        <v>1871304</v>
      </c>
    </row>
    <row r="24" spans="1:12" x14ac:dyDescent="0.35">
      <c r="A24" t="s">
        <v>82</v>
      </c>
      <c r="B24" s="7">
        <v>613</v>
      </c>
      <c r="C24" s="7">
        <v>10</v>
      </c>
      <c r="D24" s="7">
        <v>1875717</v>
      </c>
      <c r="E24" s="7">
        <v>57736</v>
      </c>
      <c r="F24" s="7"/>
      <c r="G24" s="7"/>
      <c r="H24" s="7"/>
      <c r="I24" s="7">
        <v>9933</v>
      </c>
      <c r="J24" s="7">
        <v>18757</v>
      </c>
      <c r="K24" s="7"/>
      <c r="L24" s="7">
        <v>1962766</v>
      </c>
    </row>
    <row r="25" spans="1:12" x14ac:dyDescent="0.35">
      <c r="A25" t="s">
        <v>86</v>
      </c>
      <c r="B25" s="7">
        <v>77007</v>
      </c>
      <c r="C25" s="7">
        <v>722</v>
      </c>
      <c r="D25" s="7">
        <v>226996</v>
      </c>
      <c r="E25" s="7">
        <v>369531</v>
      </c>
      <c r="F25" s="7"/>
      <c r="G25" s="7"/>
      <c r="H25" s="7">
        <v>6390</v>
      </c>
      <c r="I25" s="7">
        <v>707408</v>
      </c>
      <c r="J25" s="7">
        <v>306262</v>
      </c>
      <c r="K25" s="7">
        <v>109797</v>
      </c>
      <c r="L25" s="7">
        <v>1804114</v>
      </c>
    </row>
    <row r="26" spans="1:12" x14ac:dyDescent="0.35">
      <c r="A26" t="s">
        <v>88</v>
      </c>
      <c r="B26" s="7">
        <v>15472</v>
      </c>
      <c r="C26" s="7"/>
      <c r="D26" s="7">
        <v>98287</v>
      </c>
      <c r="E26" s="7">
        <v>143119</v>
      </c>
      <c r="F26" s="7"/>
      <c r="G26" s="7"/>
      <c r="H26" s="7">
        <v>1308</v>
      </c>
      <c r="I26" s="7">
        <v>15577</v>
      </c>
      <c r="J26" s="7">
        <v>257447</v>
      </c>
      <c r="K26" s="7">
        <v>23793</v>
      </c>
      <c r="L26" s="7">
        <v>555003</v>
      </c>
    </row>
    <row r="27" spans="1:12" x14ac:dyDescent="0.35">
      <c r="A27" t="s">
        <v>90</v>
      </c>
      <c r="B27" s="7">
        <v>7703</v>
      </c>
      <c r="C27" s="7">
        <v>1</v>
      </c>
      <c r="D27" s="7">
        <v>95865</v>
      </c>
      <c r="E27" s="7">
        <v>5841</v>
      </c>
      <c r="F27" s="7"/>
      <c r="G27" s="7"/>
      <c r="H27" s="7">
        <v>363</v>
      </c>
      <c r="I27" s="7">
        <v>5733</v>
      </c>
      <c r="J27" s="7">
        <v>28547</v>
      </c>
      <c r="K27" s="7">
        <v>5141</v>
      </c>
      <c r="L27" s="7">
        <v>149194</v>
      </c>
    </row>
    <row r="28" spans="1:12" x14ac:dyDescent="0.35">
      <c r="A28" t="s">
        <v>92</v>
      </c>
      <c r="B28" s="7">
        <v>9</v>
      </c>
      <c r="C28" s="7"/>
      <c r="D28" s="7">
        <v>5943</v>
      </c>
      <c r="E28" s="7">
        <v>1</v>
      </c>
      <c r="F28" s="7"/>
      <c r="G28" s="7"/>
      <c r="H28" s="7">
        <v>67</v>
      </c>
      <c r="I28" s="7">
        <v>1</v>
      </c>
      <c r="J28" s="7">
        <v>144</v>
      </c>
      <c r="K28" s="7">
        <v>4</v>
      </c>
      <c r="L28" s="7">
        <v>6169</v>
      </c>
    </row>
    <row r="29" spans="1:12" x14ac:dyDescent="0.35">
      <c r="A29" t="s">
        <v>94</v>
      </c>
      <c r="B29" s="7">
        <v>19164</v>
      </c>
      <c r="C29" s="7">
        <v>279</v>
      </c>
      <c r="D29" s="7">
        <v>15666</v>
      </c>
      <c r="E29" s="7">
        <v>12878</v>
      </c>
      <c r="F29" s="7"/>
      <c r="G29" s="7"/>
      <c r="H29" s="7">
        <v>91</v>
      </c>
      <c r="I29" s="7">
        <v>4132</v>
      </c>
      <c r="J29" s="7">
        <v>16092</v>
      </c>
      <c r="K29" s="7">
        <v>9080</v>
      </c>
      <c r="L29" s="7">
        <v>77382</v>
      </c>
    </row>
    <row r="30" spans="1:12" x14ac:dyDescent="0.35">
      <c r="A30" t="s">
        <v>236</v>
      </c>
      <c r="B30" s="7">
        <v>22168</v>
      </c>
      <c r="C30" s="7">
        <v>7439</v>
      </c>
      <c r="D30" s="7">
        <v>471665</v>
      </c>
      <c r="E30" s="7">
        <v>104830</v>
      </c>
      <c r="F30" s="7"/>
      <c r="G30" s="7"/>
      <c r="H30" s="7"/>
      <c r="I30" s="7"/>
      <c r="J30" s="7"/>
      <c r="K30" s="7"/>
      <c r="L30" s="7">
        <v>606101</v>
      </c>
    </row>
    <row r="32" spans="1:12" x14ac:dyDescent="0.35">
      <c r="B32" s="7">
        <f>SUM(B9,B10:B21,B22*-1)</f>
        <v>0</v>
      </c>
      <c r="C32" s="7">
        <f t="shared" ref="C32:L32" si="0">SUM(C9,C10:C21,C22*-1)</f>
        <v>-1</v>
      </c>
      <c r="D32" s="7">
        <f t="shared" si="0"/>
        <v>0</v>
      </c>
      <c r="E32" s="7">
        <f t="shared" si="0"/>
        <v>0</v>
      </c>
      <c r="F32" s="7">
        <f t="shared" si="0"/>
        <v>0</v>
      </c>
      <c r="G32" s="7">
        <f t="shared" si="0"/>
        <v>0</v>
      </c>
      <c r="H32" s="7">
        <f t="shared" si="0"/>
        <v>0</v>
      </c>
      <c r="I32" s="7">
        <f t="shared" si="0"/>
        <v>-1</v>
      </c>
      <c r="J32" s="7">
        <f t="shared" si="0"/>
        <v>-2</v>
      </c>
      <c r="K32" s="7">
        <f t="shared" si="0"/>
        <v>1</v>
      </c>
      <c r="L32" s="7">
        <f t="shared" si="0"/>
        <v>-1</v>
      </c>
    </row>
  </sheetData>
  <pageMargins left="0.7" right="0.7" top="0.75" bottom="0.75" header="0.3" footer="0.3"/>
  <pageSetup paperSize="9" orientation="portrait" horizontalDpi="4294967293" verticalDpi="4294967293" r:id="rId1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sheetPr codeName="Ark74"/>
  <dimension ref="A1:L32"/>
  <sheetViews>
    <sheetView workbookViewId="0">
      <selection activeCell="O32" sqref="O32"/>
    </sheetView>
  </sheetViews>
  <sheetFormatPr defaultRowHeight="14.5" x14ac:dyDescent="0.35"/>
  <cols>
    <col min="1" max="1" width="30" customWidth="1"/>
    <col min="2" max="2" width="11.54296875" customWidth="1"/>
    <col min="3" max="3" width="12" customWidth="1"/>
    <col min="4" max="4" width="14.54296875" customWidth="1"/>
    <col min="5" max="5" width="14.1796875" customWidth="1"/>
    <col min="8" max="8" width="22.81640625" customWidth="1"/>
    <col min="9" max="9" width="21.81640625" customWidth="1"/>
    <col min="10" max="10" width="13.81640625" customWidth="1"/>
    <col min="11" max="11" width="12.26953125" customWidth="1"/>
    <col min="12" max="12" width="11.81640625" customWidth="1"/>
  </cols>
  <sheetData>
    <row r="1" spans="1:12" x14ac:dyDescent="0.35">
      <c r="B1" t="s">
        <v>214</v>
      </c>
      <c r="C1" t="s">
        <v>2</v>
      </c>
      <c r="D1" t="s">
        <v>215</v>
      </c>
      <c r="E1" t="s">
        <v>216</v>
      </c>
      <c r="F1" t="s">
        <v>5</v>
      </c>
      <c r="G1" t="s">
        <v>6</v>
      </c>
      <c r="H1" t="s">
        <v>217</v>
      </c>
      <c r="I1" t="s">
        <v>8</v>
      </c>
      <c r="J1" t="s">
        <v>9</v>
      </c>
      <c r="K1" t="s">
        <v>10</v>
      </c>
      <c r="L1" t="s">
        <v>218</v>
      </c>
    </row>
    <row r="2" spans="1:12" x14ac:dyDescent="0.35">
      <c r="B2" t="s">
        <v>219</v>
      </c>
      <c r="C2" t="s">
        <v>219</v>
      </c>
      <c r="D2" t="s">
        <v>219</v>
      </c>
      <c r="E2" t="s">
        <v>219</v>
      </c>
      <c r="F2" t="s">
        <v>219</v>
      </c>
      <c r="G2" t="s">
        <v>219</v>
      </c>
      <c r="H2" t="s">
        <v>219</v>
      </c>
      <c r="I2" t="s">
        <v>219</v>
      </c>
      <c r="J2" t="s">
        <v>219</v>
      </c>
      <c r="K2" t="s">
        <v>219</v>
      </c>
      <c r="L2" t="s">
        <v>219</v>
      </c>
    </row>
    <row r="3" spans="1:12" x14ac:dyDescent="0.35">
      <c r="A3" t="s">
        <v>17</v>
      </c>
      <c r="B3" s="7">
        <v>206681</v>
      </c>
      <c r="C3" s="7">
        <v>28043</v>
      </c>
      <c r="D3" s="7"/>
      <c r="E3" s="7">
        <v>39229</v>
      </c>
      <c r="F3" s="7">
        <v>117651</v>
      </c>
      <c r="G3" s="7">
        <v>10255</v>
      </c>
      <c r="H3" s="7">
        <v>6775</v>
      </c>
      <c r="I3" s="7">
        <v>16652</v>
      </c>
      <c r="J3" s="7"/>
      <c r="K3" s="7">
        <v>12</v>
      </c>
      <c r="L3" s="7">
        <v>425298</v>
      </c>
    </row>
    <row r="4" spans="1:12" x14ac:dyDescent="0.35">
      <c r="A4" t="s">
        <v>220</v>
      </c>
      <c r="B4" s="7">
        <v>166599</v>
      </c>
      <c r="C4" s="7">
        <v>370432</v>
      </c>
      <c r="D4" s="7">
        <v>86851</v>
      </c>
      <c r="E4" s="7">
        <v>93973</v>
      </c>
      <c r="F4" s="7"/>
      <c r="G4" s="7"/>
      <c r="H4" s="7"/>
      <c r="I4" s="7">
        <v>158</v>
      </c>
      <c r="J4" s="7"/>
      <c r="K4" s="7"/>
      <c r="L4" s="7">
        <v>718013</v>
      </c>
    </row>
    <row r="5" spans="1:12" x14ac:dyDescent="0.35">
      <c r="A5" t="s">
        <v>221</v>
      </c>
      <c r="B5" s="7">
        <v>-153836</v>
      </c>
      <c r="C5" s="7">
        <v>-13829</v>
      </c>
      <c r="D5" s="7">
        <v>-52395</v>
      </c>
      <c r="E5" s="7">
        <v>-12383</v>
      </c>
      <c r="F5" s="7"/>
      <c r="G5" s="7"/>
      <c r="H5" s="7"/>
      <c r="I5" s="7"/>
      <c r="J5" s="7">
        <v>-143</v>
      </c>
      <c r="K5" s="7"/>
      <c r="L5" s="7">
        <v>-232585</v>
      </c>
    </row>
    <row r="6" spans="1:12" x14ac:dyDescent="0.35">
      <c r="A6" t="s">
        <v>222</v>
      </c>
      <c r="B6" s="7"/>
      <c r="C6" s="7"/>
      <c r="D6" s="7">
        <v>-18032</v>
      </c>
      <c r="E6" s="7"/>
      <c r="F6" s="7"/>
      <c r="G6" s="7"/>
      <c r="H6" s="7"/>
      <c r="I6" s="7"/>
      <c r="J6" s="7"/>
      <c r="K6" s="7"/>
      <c r="L6" s="7">
        <v>-18032</v>
      </c>
    </row>
    <row r="7" spans="1:12" x14ac:dyDescent="0.35">
      <c r="A7" t="s">
        <v>223</v>
      </c>
      <c r="B7" s="7"/>
      <c r="C7" s="7"/>
      <c r="D7" s="7">
        <v>-14207</v>
      </c>
      <c r="E7" s="7"/>
      <c r="F7" s="7"/>
      <c r="G7" s="7"/>
      <c r="H7" s="7"/>
      <c r="I7" s="7"/>
      <c r="J7" s="7"/>
      <c r="K7" s="7"/>
      <c r="L7" s="7">
        <v>-14207</v>
      </c>
    </row>
    <row r="8" spans="1:12" x14ac:dyDescent="0.35">
      <c r="A8" t="s">
        <v>224</v>
      </c>
      <c r="B8" s="7">
        <v>1306</v>
      </c>
      <c r="C8" s="7">
        <v>289</v>
      </c>
      <c r="D8" s="7">
        <v>644</v>
      </c>
      <c r="E8" s="7">
        <v>719</v>
      </c>
      <c r="F8" s="7"/>
      <c r="G8" s="7"/>
      <c r="H8" s="7"/>
      <c r="I8" s="7"/>
      <c r="J8" s="7"/>
      <c r="K8" s="7"/>
      <c r="L8" s="7">
        <v>2959</v>
      </c>
    </row>
    <row r="9" spans="1:12" x14ac:dyDescent="0.35">
      <c r="A9" t="s">
        <v>225</v>
      </c>
      <c r="B9" s="7">
        <v>220750</v>
      </c>
      <c r="C9" s="7">
        <v>384936</v>
      </c>
      <c r="D9" s="7">
        <v>2861</v>
      </c>
      <c r="E9" s="7">
        <v>121538</v>
      </c>
      <c r="F9" s="7">
        <v>117651</v>
      </c>
      <c r="G9" s="7">
        <v>10255</v>
      </c>
      <c r="H9" s="7">
        <v>6775</v>
      </c>
      <c r="I9" s="7">
        <v>16810</v>
      </c>
      <c r="J9" s="7">
        <v>-143</v>
      </c>
      <c r="K9" s="7">
        <v>12</v>
      </c>
      <c r="L9" s="7">
        <v>881445</v>
      </c>
    </row>
    <row r="10" spans="1:12" x14ac:dyDescent="0.35">
      <c r="A10" t="s">
        <v>226</v>
      </c>
      <c r="B10" s="7"/>
      <c r="C10" s="7">
        <v>-3135</v>
      </c>
      <c r="D10" s="7">
        <v>7716</v>
      </c>
      <c r="E10" s="7"/>
      <c r="F10" s="7"/>
      <c r="G10" s="7"/>
      <c r="H10" s="7"/>
      <c r="I10" s="7"/>
      <c r="J10" s="7"/>
      <c r="K10" s="7"/>
      <c r="L10" s="7">
        <v>4581</v>
      </c>
    </row>
    <row r="11" spans="1:12" x14ac:dyDescent="0.35">
      <c r="A11" t="s">
        <v>227</v>
      </c>
      <c r="B11" s="7">
        <v>-69</v>
      </c>
      <c r="C11" s="7">
        <v>3300</v>
      </c>
      <c r="D11" s="7">
        <v>-6463</v>
      </c>
      <c r="E11" s="7">
        <v>2044</v>
      </c>
      <c r="F11" s="7"/>
      <c r="G11" s="7"/>
      <c r="H11" s="7"/>
      <c r="I11" s="7">
        <v>-160</v>
      </c>
      <c r="J11" s="7">
        <v>3342</v>
      </c>
      <c r="K11" s="7"/>
      <c r="L11" s="7">
        <v>1994</v>
      </c>
    </row>
    <row r="12" spans="1:12" x14ac:dyDescent="0.35">
      <c r="A12" t="s">
        <v>228</v>
      </c>
      <c r="B12" s="7">
        <v>-145487</v>
      </c>
      <c r="C12" s="7">
        <v>-8208</v>
      </c>
      <c r="D12" s="7">
        <v>-27305</v>
      </c>
      <c r="E12" s="7">
        <v>-59865</v>
      </c>
      <c r="F12" s="7">
        <v>-117651</v>
      </c>
      <c r="G12" s="7">
        <v>-10255</v>
      </c>
      <c r="H12" s="7">
        <v>-4933</v>
      </c>
      <c r="I12" s="7">
        <v>-3468</v>
      </c>
      <c r="J12" s="7">
        <v>150896</v>
      </c>
      <c r="K12" s="7">
        <v>-58</v>
      </c>
      <c r="L12" s="7">
        <v>-226334</v>
      </c>
    </row>
    <row r="13" spans="1:12" x14ac:dyDescent="0.35">
      <c r="A13" t="s">
        <v>66</v>
      </c>
      <c r="B13" s="7">
        <v>-5746</v>
      </c>
      <c r="C13" s="7"/>
      <c r="D13" s="7">
        <v>-2070</v>
      </c>
      <c r="E13" s="7">
        <v>-4725</v>
      </c>
      <c r="F13" s="7"/>
      <c r="G13" s="7"/>
      <c r="H13" s="7">
        <v>-89</v>
      </c>
      <c r="I13" s="7">
        <v>-1766</v>
      </c>
      <c r="J13" s="7">
        <v>4489</v>
      </c>
      <c r="K13" s="7">
        <v>4120</v>
      </c>
      <c r="L13" s="7">
        <v>-5787</v>
      </c>
    </row>
    <row r="14" spans="1:12" x14ac:dyDescent="0.35">
      <c r="A14" t="s">
        <v>229</v>
      </c>
      <c r="B14" s="7">
        <v>-15</v>
      </c>
      <c r="C14" s="7"/>
      <c r="D14" s="7">
        <v>-698</v>
      </c>
      <c r="E14" s="7">
        <v>-508</v>
      </c>
      <c r="F14" s="7"/>
      <c r="G14" s="7"/>
      <c r="H14" s="7"/>
      <c r="I14" s="7">
        <v>-196</v>
      </c>
      <c r="J14" s="7">
        <v>-99</v>
      </c>
      <c r="K14" s="7">
        <v>1120</v>
      </c>
      <c r="L14" s="7">
        <v>-395</v>
      </c>
    </row>
    <row r="15" spans="1:12" x14ac:dyDescent="0.35">
      <c r="A15" t="s">
        <v>230</v>
      </c>
      <c r="B15" s="7">
        <v>67</v>
      </c>
      <c r="C15" s="7"/>
      <c r="D15" s="7">
        <v>-1759</v>
      </c>
      <c r="E15" s="7">
        <v>1847</v>
      </c>
      <c r="F15" s="7"/>
      <c r="G15" s="7"/>
      <c r="H15" s="7"/>
      <c r="I15" s="7">
        <v>-1</v>
      </c>
      <c r="J15" s="7"/>
      <c r="K15" s="7"/>
      <c r="L15" s="7">
        <v>154</v>
      </c>
    </row>
    <row r="16" spans="1:12" x14ac:dyDescent="0.35">
      <c r="A16" t="s">
        <v>70</v>
      </c>
      <c r="B16" s="7"/>
      <c r="C16" s="7">
        <v>-388667</v>
      </c>
      <c r="D16" s="7">
        <v>387306</v>
      </c>
      <c r="E16" s="7"/>
      <c r="F16" s="7"/>
      <c r="G16" s="7"/>
      <c r="H16" s="7"/>
      <c r="I16" s="7"/>
      <c r="J16" s="7"/>
      <c r="K16" s="7"/>
      <c r="L16" s="7">
        <v>-1360</v>
      </c>
    </row>
    <row r="17" spans="1:12" x14ac:dyDescent="0.35">
      <c r="A17" t="s">
        <v>231</v>
      </c>
      <c r="B17" s="7">
        <v>-29810</v>
      </c>
      <c r="C17" s="7"/>
      <c r="D17" s="7">
        <v>-492</v>
      </c>
      <c r="E17" s="7">
        <v>-57</v>
      </c>
      <c r="F17" s="7"/>
      <c r="G17" s="7"/>
      <c r="H17" s="7"/>
      <c r="I17" s="7"/>
      <c r="J17" s="7"/>
      <c r="K17" s="7"/>
      <c r="L17" s="7">
        <v>-30359</v>
      </c>
    </row>
    <row r="18" spans="1:12" x14ac:dyDescent="0.35">
      <c r="A18" t="s">
        <v>232</v>
      </c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</row>
    <row r="19" spans="1:12" x14ac:dyDescent="0.35">
      <c r="A19" t="s">
        <v>233</v>
      </c>
      <c r="B19" s="7"/>
      <c r="C19" s="7">
        <v>12920</v>
      </c>
      <c r="D19" s="7">
        <v>-13021</v>
      </c>
      <c r="E19" s="7"/>
      <c r="F19" s="7"/>
      <c r="G19" s="7"/>
      <c r="H19" s="7"/>
      <c r="I19" s="7">
        <v>-19</v>
      </c>
      <c r="J19" s="7"/>
      <c r="K19" s="7"/>
      <c r="L19" s="7">
        <v>-120</v>
      </c>
    </row>
    <row r="20" spans="1:12" x14ac:dyDescent="0.35">
      <c r="A20" t="s">
        <v>234</v>
      </c>
      <c r="B20" s="7">
        <v>-4735</v>
      </c>
      <c r="C20" s="7">
        <v>-58</v>
      </c>
      <c r="D20" s="7">
        <v>-19752</v>
      </c>
      <c r="E20" s="7">
        <v>-4272</v>
      </c>
      <c r="F20" s="7"/>
      <c r="G20" s="7"/>
      <c r="H20" s="7"/>
      <c r="I20" s="7"/>
      <c r="J20" s="7">
        <v>-9245</v>
      </c>
      <c r="K20" s="7">
        <v>-9</v>
      </c>
      <c r="L20" s="7">
        <v>-38070</v>
      </c>
    </row>
    <row r="21" spans="1:12" x14ac:dyDescent="0.35">
      <c r="A21" t="s">
        <v>235</v>
      </c>
      <c r="B21" s="7">
        <v>-6</v>
      </c>
      <c r="C21" s="7"/>
      <c r="D21" s="7"/>
      <c r="E21" s="7">
        <v>-16</v>
      </c>
      <c r="F21" s="7"/>
      <c r="G21" s="7"/>
      <c r="H21" s="7"/>
      <c r="I21" s="7"/>
      <c r="J21" s="7">
        <v>-7182</v>
      </c>
      <c r="K21" s="7">
        <v>-89</v>
      </c>
      <c r="L21" s="7">
        <v>-7294</v>
      </c>
    </row>
    <row r="22" spans="1:12" x14ac:dyDescent="0.35">
      <c r="A22" t="s">
        <v>131</v>
      </c>
      <c r="B22" s="7">
        <v>34949</v>
      </c>
      <c r="C22" s="7">
        <v>1089</v>
      </c>
      <c r="D22" s="7">
        <v>326324</v>
      </c>
      <c r="E22" s="7">
        <v>55986</v>
      </c>
      <c r="F22" s="7"/>
      <c r="G22" s="7"/>
      <c r="H22" s="7">
        <v>1753</v>
      </c>
      <c r="I22" s="7">
        <v>11201</v>
      </c>
      <c r="J22" s="7">
        <v>142058</v>
      </c>
      <c r="K22" s="7">
        <v>5096</v>
      </c>
      <c r="L22" s="7">
        <v>578455</v>
      </c>
    </row>
    <row r="23" spans="1:12" x14ac:dyDescent="0.35">
      <c r="A23" t="s">
        <v>80</v>
      </c>
      <c r="B23" s="7">
        <v>32543</v>
      </c>
      <c r="C23" s="7">
        <v>43</v>
      </c>
      <c r="D23" s="7">
        <v>43722</v>
      </c>
      <c r="E23" s="7">
        <v>22785</v>
      </c>
      <c r="F23" s="7"/>
      <c r="G23" s="7"/>
      <c r="H23" s="7">
        <v>137</v>
      </c>
      <c r="I23" s="7">
        <v>7246</v>
      </c>
      <c r="J23" s="7">
        <v>59539</v>
      </c>
      <c r="K23" s="7">
        <v>2845</v>
      </c>
      <c r="L23" s="7">
        <v>168860</v>
      </c>
    </row>
    <row r="24" spans="1:12" x14ac:dyDescent="0.35">
      <c r="A24" t="s">
        <v>82</v>
      </c>
      <c r="B24" s="7">
        <v>184</v>
      </c>
      <c r="C24" s="7"/>
      <c r="D24" s="7">
        <v>149008</v>
      </c>
      <c r="E24" s="7">
        <v>774</v>
      </c>
      <c r="F24" s="7"/>
      <c r="G24" s="7"/>
      <c r="H24" s="7"/>
      <c r="I24" s="7">
        <v>30</v>
      </c>
      <c r="J24" s="7">
        <v>2152</v>
      </c>
      <c r="K24" s="7"/>
      <c r="L24" s="7">
        <v>152147</v>
      </c>
    </row>
    <row r="25" spans="1:12" x14ac:dyDescent="0.35">
      <c r="A25" t="s">
        <v>86</v>
      </c>
      <c r="B25" s="7">
        <v>994</v>
      </c>
      <c r="C25" s="7"/>
      <c r="D25" s="7">
        <v>20829</v>
      </c>
      <c r="E25" s="7">
        <v>20649</v>
      </c>
      <c r="F25" s="7"/>
      <c r="G25" s="7"/>
      <c r="H25" s="7">
        <v>1426</v>
      </c>
      <c r="I25" s="7">
        <v>1667</v>
      </c>
      <c r="J25" s="7">
        <v>35122</v>
      </c>
      <c r="K25" s="7">
        <v>1481</v>
      </c>
      <c r="L25" s="7">
        <v>82169</v>
      </c>
    </row>
    <row r="26" spans="1:12" x14ac:dyDescent="0.35">
      <c r="A26" t="s">
        <v>88</v>
      </c>
      <c r="B26" s="7">
        <v>126</v>
      </c>
      <c r="C26" s="7"/>
      <c r="D26" s="7">
        <v>28603</v>
      </c>
      <c r="E26" s="7">
        <v>10383</v>
      </c>
      <c r="F26" s="7"/>
      <c r="G26" s="7"/>
      <c r="H26" s="7">
        <v>160</v>
      </c>
      <c r="I26" s="7">
        <v>1294</v>
      </c>
      <c r="J26" s="7">
        <v>43650</v>
      </c>
      <c r="K26" s="7">
        <v>770</v>
      </c>
      <c r="L26" s="7">
        <v>84985</v>
      </c>
    </row>
    <row r="27" spans="1:12" x14ac:dyDescent="0.35">
      <c r="A27" t="s">
        <v>90</v>
      </c>
      <c r="B27" s="7">
        <v>28</v>
      </c>
      <c r="C27" s="7"/>
      <c r="D27" s="7">
        <v>7561</v>
      </c>
      <c r="E27" s="7">
        <v>71</v>
      </c>
      <c r="F27" s="7"/>
      <c r="G27" s="7"/>
      <c r="H27" s="7">
        <v>22</v>
      </c>
      <c r="I27" s="7"/>
      <c r="J27" s="7">
        <v>1158</v>
      </c>
      <c r="K27" s="7"/>
      <c r="L27" s="7">
        <v>8840</v>
      </c>
    </row>
    <row r="28" spans="1:12" x14ac:dyDescent="0.35">
      <c r="A28" t="s">
        <v>92</v>
      </c>
      <c r="B28" s="7"/>
      <c r="C28" s="7"/>
      <c r="D28" s="7">
        <v>3174</v>
      </c>
      <c r="E28" s="7">
        <v>1</v>
      </c>
      <c r="F28" s="7"/>
      <c r="G28" s="7"/>
      <c r="H28" s="7">
        <v>5</v>
      </c>
      <c r="I28" s="7"/>
      <c r="J28" s="7">
        <v>185</v>
      </c>
      <c r="K28" s="7"/>
      <c r="L28" s="7">
        <v>3366</v>
      </c>
    </row>
    <row r="29" spans="1:12" x14ac:dyDescent="0.35">
      <c r="A29" t="s">
        <v>94</v>
      </c>
      <c r="B29" s="7"/>
      <c r="C29" s="7"/>
      <c r="D29" s="7">
        <v>1748</v>
      </c>
      <c r="E29" s="7"/>
      <c r="F29" s="7"/>
      <c r="G29" s="7"/>
      <c r="H29" s="7">
        <v>2</v>
      </c>
      <c r="I29" s="7">
        <v>965</v>
      </c>
      <c r="J29" s="7">
        <v>252</v>
      </c>
      <c r="K29" s="7"/>
      <c r="L29" s="7">
        <v>2968</v>
      </c>
    </row>
    <row r="30" spans="1:12" x14ac:dyDescent="0.35">
      <c r="A30" t="s">
        <v>236</v>
      </c>
      <c r="B30" s="7">
        <v>1075</v>
      </c>
      <c r="C30" s="7">
        <v>1046</v>
      </c>
      <c r="D30" s="7">
        <v>71678</v>
      </c>
      <c r="E30" s="7">
        <v>1322</v>
      </c>
      <c r="F30" s="7"/>
      <c r="G30" s="7"/>
      <c r="H30" s="7"/>
      <c r="I30" s="7"/>
      <c r="J30" s="7"/>
      <c r="K30" s="7"/>
      <c r="L30" s="7">
        <v>75121</v>
      </c>
    </row>
    <row r="32" spans="1:12" x14ac:dyDescent="0.35">
      <c r="B32" s="7">
        <f>SUM(B9,B10:B21,B22*-1)</f>
        <v>0</v>
      </c>
      <c r="C32" s="7">
        <f t="shared" ref="C32:L32" si="0">SUM(C9,C10:C21,C22*-1)</f>
        <v>-1</v>
      </c>
      <c r="D32" s="7">
        <f t="shared" si="0"/>
        <v>-1</v>
      </c>
      <c r="E32" s="7">
        <f t="shared" si="0"/>
        <v>0</v>
      </c>
      <c r="F32" s="7">
        <f t="shared" si="0"/>
        <v>0</v>
      </c>
      <c r="G32" s="7">
        <f t="shared" si="0"/>
        <v>0</v>
      </c>
      <c r="H32" s="7">
        <f t="shared" si="0"/>
        <v>0</v>
      </c>
      <c r="I32" s="7">
        <f t="shared" si="0"/>
        <v>-1</v>
      </c>
      <c r="J32" s="7">
        <f t="shared" si="0"/>
        <v>0</v>
      </c>
      <c r="K32" s="7">
        <f t="shared" si="0"/>
        <v>0</v>
      </c>
      <c r="L32" s="7">
        <f t="shared" si="0"/>
        <v>0</v>
      </c>
    </row>
  </sheetData>
  <pageMargins left="0.7" right="0.7" top="0.75" bottom="0.75" header="0.3" footer="0.3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sheetPr codeName="Ark75"/>
  <dimension ref="A1:L32"/>
  <sheetViews>
    <sheetView workbookViewId="0">
      <selection activeCell="A37" sqref="A37"/>
    </sheetView>
  </sheetViews>
  <sheetFormatPr defaultRowHeight="14.5" x14ac:dyDescent="0.35"/>
  <cols>
    <col min="1" max="1" width="30" customWidth="1"/>
    <col min="2" max="2" width="11.54296875" customWidth="1"/>
    <col min="3" max="3" width="12" customWidth="1"/>
    <col min="4" max="4" width="14.54296875" customWidth="1"/>
    <col min="5" max="5" width="14.1796875" customWidth="1"/>
    <col min="8" max="8" width="22.81640625" customWidth="1"/>
    <col min="9" max="9" width="21.81640625" customWidth="1"/>
    <col min="10" max="10" width="13.81640625" customWidth="1"/>
    <col min="11" max="11" width="12.26953125" customWidth="1"/>
    <col min="12" max="12" width="11.81640625" customWidth="1"/>
  </cols>
  <sheetData>
    <row r="1" spans="1:12" x14ac:dyDescent="0.35">
      <c r="B1" t="s">
        <v>214</v>
      </c>
      <c r="C1" t="s">
        <v>2</v>
      </c>
      <c r="D1" t="s">
        <v>215</v>
      </c>
      <c r="E1" t="s">
        <v>216</v>
      </c>
      <c r="F1" t="s">
        <v>5</v>
      </c>
      <c r="G1" t="s">
        <v>6</v>
      </c>
      <c r="H1" t="s">
        <v>217</v>
      </c>
      <c r="I1" t="s">
        <v>8</v>
      </c>
      <c r="J1" t="s">
        <v>9</v>
      </c>
      <c r="K1" t="s">
        <v>10</v>
      </c>
      <c r="L1" t="s">
        <v>218</v>
      </c>
    </row>
    <row r="2" spans="1:12" x14ac:dyDescent="0.35">
      <c r="B2" t="s">
        <v>219</v>
      </c>
      <c r="C2" t="s">
        <v>219</v>
      </c>
      <c r="D2" t="s">
        <v>219</v>
      </c>
      <c r="E2" t="s">
        <v>219</v>
      </c>
      <c r="F2" t="s">
        <v>219</v>
      </c>
      <c r="G2" t="s">
        <v>219</v>
      </c>
      <c r="H2" t="s">
        <v>219</v>
      </c>
      <c r="I2" t="s">
        <v>219</v>
      </c>
      <c r="J2" t="s">
        <v>219</v>
      </c>
      <c r="K2" t="s">
        <v>219</v>
      </c>
      <c r="L2" t="s">
        <v>219</v>
      </c>
    </row>
    <row r="3" spans="1:12" x14ac:dyDescent="0.35">
      <c r="A3" t="s">
        <v>17</v>
      </c>
      <c r="B3" s="7">
        <v>251257</v>
      </c>
      <c r="C3" s="7">
        <v>29679</v>
      </c>
      <c r="D3" s="7"/>
      <c r="E3" s="7">
        <v>54702</v>
      </c>
      <c r="F3" s="7">
        <v>113819</v>
      </c>
      <c r="G3" s="7">
        <v>10812</v>
      </c>
      <c r="H3" s="7">
        <v>9331</v>
      </c>
      <c r="I3" s="7">
        <v>20877</v>
      </c>
      <c r="J3" s="7"/>
      <c r="K3" s="7">
        <v>91</v>
      </c>
      <c r="L3" s="7">
        <v>490568</v>
      </c>
    </row>
    <row r="4" spans="1:12" x14ac:dyDescent="0.35">
      <c r="A4" t="s">
        <v>220</v>
      </c>
      <c r="B4" s="7">
        <v>195720</v>
      </c>
      <c r="C4" s="7">
        <v>346255</v>
      </c>
      <c r="D4" s="7">
        <v>98386</v>
      </c>
      <c r="E4" s="7">
        <v>127496</v>
      </c>
      <c r="F4" s="7"/>
      <c r="G4" s="7"/>
      <c r="H4" s="7"/>
      <c r="I4" s="7">
        <v>364</v>
      </c>
      <c r="J4" s="7"/>
      <c r="K4" s="7"/>
      <c r="L4" s="7">
        <v>768221</v>
      </c>
    </row>
    <row r="5" spans="1:12" x14ac:dyDescent="0.35">
      <c r="A5" t="s">
        <v>221</v>
      </c>
      <c r="B5" s="7">
        <v>-192570</v>
      </c>
      <c r="C5" s="7">
        <v>-18084</v>
      </c>
      <c r="D5" s="7">
        <v>-69054</v>
      </c>
      <c r="E5" s="7">
        <v>-20923</v>
      </c>
      <c r="F5" s="7"/>
      <c r="G5" s="7"/>
      <c r="H5" s="7"/>
      <c r="I5" s="7"/>
      <c r="J5" s="7">
        <v>-341</v>
      </c>
      <c r="K5" s="7"/>
      <c r="L5" s="7">
        <v>-300973</v>
      </c>
    </row>
    <row r="6" spans="1:12" x14ac:dyDescent="0.35">
      <c r="A6" t="s">
        <v>222</v>
      </c>
      <c r="B6" s="7"/>
      <c r="C6" s="7"/>
      <c r="D6" s="7">
        <v>-14936</v>
      </c>
      <c r="E6" s="7"/>
      <c r="F6" s="7"/>
      <c r="G6" s="7"/>
      <c r="H6" s="7"/>
      <c r="I6" s="7"/>
      <c r="J6" s="7"/>
      <c r="K6" s="7"/>
      <c r="L6" s="7">
        <v>-14936</v>
      </c>
    </row>
    <row r="7" spans="1:12" x14ac:dyDescent="0.35">
      <c r="A7" t="s">
        <v>223</v>
      </c>
      <c r="B7" s="7"/>
      <c r="C7" s="7"/>
      <c r="D7" s="7">
        <v>-14513</v>
      </c>
      <c r="E7" s="7"/>
      <c r="F7" s="7"/>
      <c r="G7" s="7"/>
      <c r="H7" s="7"/>
      <c r="I7" s="7"/>
      <c r="J7" s="7"/>
      <c r="K7" s="7"/>
      <c r="L7" s="7">
        <v>-14513</v>
      </c>
    </row>
    <row r="8" spans="1:12" x14ac:dyDescent="0.35">
      <c r="A8" t="s">
        <v>224</v>
      </c>
      <c r="B8" s="7">
        <v>-6348</v>
      </c>
      <c r="C8" s="7">
        <v>-1285</v>
      </c>
      <c r="D8" s="7">
        <v>-275</v>
      </c>
      <c r="E8" s="7">
        <v>-1248</v>
      </c>
      <c r="F8" s="7"/>
      <c r="G8" s="7"/>
      <c r="H8" s="7"/>
      <c r="I8" s="7"/>
      <c r="J8" s="7"/>
      <c r="K8" s="7"/>
      <c r="L8" s="7">
        <v>-9155</v>
      </c>
    </row>
    <row r="9" spans="1:12" x14ac:dyDescent="0.35">
      <c r="A9" t="s">
        <v>225</v>
      </c>
      <c r="B9" s="7">
        <v>248059</v>
      </c>
      <c r="C9" s="7">
        <v>356565</v>
      </c>
      <c r="D9" s="7">
        <v>-392</v>
      </c>
      <c r="E9" s="7">
        <v>160028</v>
      </c>
      <c r="F9" s="7">
        <v>113819</v>
      </c>
      <c r="G9" s="7">
        <v>10812</v>
      </c>
      <c r="H9" s="7">
        <v>9331</v>
      </c>
      <c r="I9" s="7">
        <v>21241</v>
      </c>
      <c r="J9" s="7">
        <v>-341</v>
      </c>
      <c r="K9" s="7">
        <v>91</v>
      </c>
      <c r="L9" s="7">
        <v>919213</v>
      </c>
    </row>
    <row r="10" spans="1:12" x14ac:dyDescent="0.35">
      <c r="A10" t="s">
        <v>226</v>
      </c>
      <c r="B10" s="7"/>
      <c r="C10" s="7">
        <v>-3756</v>
      </c>
      <c r="D10" s="7">
        <v>7946</v>
      </c>
      <c r="E10" s="7"/>
      <c r="F10" s="7"/>
      <c r="G10" s="7"/>
      <c r="H10" s="7"/>
      <c r="I10" s="7"/>
      <c r="J10" s="7"/>
      <c r="K10" s="7"/>
      <c r="L10" s="7">
        <v>4191</v>
      </c>
    </row>
    <row r="11" spans="1:12" x14ac:dyDescent="0.35">
      <c r="A11" t="s">
        <v>227</v>
      </c>
      <c r="B11" s="7">
        <v>-4300</v>
      </c>
      <c r="C11" s="7">
        <v>-2042</v>
      </c>
      <c r="D11" s="7">
        <v>-6689</v>
      </c>
      <c r="E11" s="7">
        <v>-12</v>
      </c>
      <c r="F11" s="7"/>
      <c r="G11" s="7"/>
      <c r="H11" s="7"/>
      <c r="I11" s="7">
        <v>-140</v>
      </c>
      <c r="J11" s="7">
        <v>-1660</v>
      </c>
      <c r="K11" s="7">
        <v>-73</v>
      </c>
      <c r="L11" s="7">
        <v>-14917</v>
      </c>
    </row>
    <row r="12" spans="1:12" x14ac:dyDescent="0.35">
      <c r="A12" t="s">
        <v>228</v>
      </c>
      <c r="B12" s="7">
        <v>-163655</v>
      </c>
      <c r="C12" s="7">
        <v>-4132</v>
      </c>
      <c r="D12" s="7">
        <v>-20575</v>
      </c>
      <c r="E12" s="7">
        <v>-84673</v>
      </c>
      <c r="F12" s="7">
        <v>-113819</v>
      </c>
      <c r="G12" s="7">
        <v>-10812</v>
      </c>
      <c r="H12" s="7">
        <v>-7069</v>
      </c>
      <c r="I12" s="7">
        <v>-6234</v>
      </c>
      <c r="J12" s="7">
        <v>168269</v>
      </c>
      <c r="K12" s="7">
        <v>-75</v>
      </c>
      <c r="L12" s="7">
        <v>-242774</v>
      </c>
    </row>
    <row r="13" spans="1:12" x14ac:dyDescent="0.35">
      <c r="A13" t="s">
        <v>66</v>
      </c>
      <c r="B13" s="7">
        <v>-5952</v>
      </c>
      <c r="C13" s="7"/>
      <c r="D13" s="7">
        <v>-1767</v>
      </c>
      <c r="E13" s="7">
        <v>-6595</v>
      </c>
      <c r="F13" s="7"/>
      <c r="G13" s="7"/>
      <c r="H13" s="7">
        <v>-71</v>
      </c>
      <c r="I13" s="7">
        <v>-866</v>
      </c>
      <c r="J13" s="7">
        <v>5145</v>
      </c>
      <c r="K13" s="7">
        <v>3960</v>
      </c>
      <c r="L13" s="7">
        <v>-6147</v>
      </c>
    </row>
    <row r="14" spans="1:12" x14ac:dyDescent="0.35">
      <c r="A14" t="s">
        <v>229</v>
      </c>
      <c r="B14" s="7"/>
      <c r="C14" s="7"/>
      <c r="D14" s="7">
        <v>-385</v>
      </c>
      <c r="E14" s="7">
        <v>-498</v>
      </c>
      <c r="F14" s="7"/>
      <c r="G14" s="7"/>
      <c r="H14" s="7"/>
      <c r="I14" s="7">
        <v>-484</v>
      </c>
      <c r="J14" s="7">
        <v>-99</v>
      </c>
      <c r="K14" s="7">
        <v>1159</v>
      </c>
      <c r="L14" s="7">
        <v>-308</v>
      </c>
    </row>
    <row r="15" spans="1:12" x14ac:dyDescent="0.35">
      <c r="A15" t="s">
        <v>230</v>
      </c>
      <c r="B15" s="7">
        <v>9</v>
      </c>
      <c r="C15" s="7"/>
      <c r="D15" s="7">
        <v>-1705</v>
      </c>
      <c r="E15" s="7">
        <v>1932</v>
      </c>
      <c r="F15" s="7"/>
      <c r="G15" s="7"/>
      <c r="H15" s="7"/>
      <c r="I15" s="7"/>
      <c r="J15" s="7"/>
      <c r="K15" s="7"/>
      <c r="L15" s="7">
        <v>236</v>
      </c>
    </row>
    <row r="16" spans="1:12" x14ac:dyDescent="0.35">
      <c r="A16" t="s">
        <v>70</v>
      </c>
      <c r="B16" s="7"/>
      <c r="C16" s="7">
        <v>-359013</v>
      </c>
      <c r="D16" s="7">
        <v>358968</v>
      </c>
      <c r="E16" s="7"/>
      <c r="F16" s="7"/>
      <c r="G16" s="7"/>
      <c r="H16" s="7"/>
      <c r="I16" s="7"/>
      <c r="J16" s="7"/>
      <c r="K16" s="7"/>
      <c r="L16" s="7">
        <v>-44</v>
      </c>
    </row>
    <row r="17" spans="1:12" x14ac:dyDescent="0.35">
      <c r="A17" t="s">
        <v>231</v>
      </c>
      <c r="B17" s="7">
        <v>-31384</v>
      </c>
      <c r="C17" s="7"/>
      <c r="D17" s="7">
        <v>-534</v>
      </c>
      <c r="E17" s="7"/>
      <c r="F17" s="7"/>
      <c r="G17" s="7"/>
      <c r="H17" s="7"/>
      <c r="I17" s="7">
        <v>-2</v>
      </c>
      <c r="J17" s="7"/>
      <c r="K17" s="7"/>
      <c r="L17" s="7">
        <v>-31919</v>
      </c>
    </row>
    <row r="18" spans="1:12" x14ac:dyDescent="0.35">
      <c r="A18" t="s">
        <v>232</v>
      </c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</row>
    <row r="19" spans="1:12" x14ac:dyDescent="0.35">
      <c r="A19" t="s">
        <v>233</v>
      </c>
      <c r="B19" s="7"/>
      <c r="C19" s="7">
        <v>13026</v>
      </c>
      <c r="D19" s="7">
        <v>-13058</v>
      </c>
      <c r="E19" s="7"/>
      <c r="F19" s="7"/>
      <c r="G19" s="7"/>
      <c r="H19" s="7"/>
      <c r="I19" s="7">
        <v>-14</v>
      </c>
      <c r="J19" s="7"/>
      <c r="K19" s="7"/>
      <c r="L19" s="7">
        <v>-47</v>
      </c>
    </row>
    <row r="20" spans="1:12" x14ac:dyDescent="0.35">
      <c r="A20" t="s">
        <v>234</v>
      </c>
      <c r="B20" s="7">
        <v>-7252</v>
      </c>
      <c r="C20" s="7">
        <v>-102</v>
      </c>
      <c r="D20" s="7">
        <v>-19014</v>
      </c>
      <c r="E20" s="7">
        <v>-6458</v>
      </c>
      <c r="F20" s="7"/>
      <c r="G20" s="7"/>
      <c r="H20" s="7"/>
      <c r="I20" s="7"/>
      <c r="J20" s="7">
        <v>-10535</v>
      </c>
      <c r="K20" s="7">
        <v>-95</v>
      </c>
      <c r="L20" s="7">
        <v>-43458</v>
      </c>
    </row>
    <row r="21" spans="1:12" x14ac:dyDescent="0.35">
      <c r="A21" t="s">
        <v>235</v>
      </c>
      <c r="B21" s="7">
        <v>-7</v>
      </c>
      <c r="C21" s="7"/>
      <c r="D21" s="7"/>
      <c r="E21" s="7">
        <v>-15</v>
      </c>
      <c r="F21" s="7"/>
      <c r="G21" s="7"/>
      <c r="H21" s="7"/>
      <c r="I21" s="7"/>
      <c r="J21" s="7">
        <v>-7414</v>
      </c>
      <c r="K21" s="7">
        <v>-52</v>
      </c>
      <c r="L21" s="7">
        <v>-7488</v>
      </c>
    </row>
    <row r="22" spans="1:12" x14ac:dyDescent="0.35">
      <c r="A22" t="s">
        <v>131</v>
      </c>
      <c r="B22" s="7">
        <v>35517</v>
      </c>
      <c r="C22" s="7">
        <v>546</v>
      </c>
      <c r="D22" s="7">
        <v>302795</v>
      </c>
      <c r="E22" s="7">
        <v>63708</v>
      </c>
      <c r="F22" s="7"/>
      <c r="G22" s="7"/>
      <c r="H22" s="7">
        <v>2191</v>
      </c>
      <c r="I22" s="7">
        <v>13499</v>
      </c>
      <c r="J22" s="7">
        <v>153365</v>
      </c>
      <c r="K22" s="7">
        <v>4915</v>
      </c>
      <c r="L22" s="7">
        <v>576537</v>
      </c>
    </row>
    <row r="23" spans="1:12" x14ac:dyDescent="0.35">
      <c r="A23" t="s">
        <v>80</v>
      </c>
      <c r="B23" s="7">
        <v>32748</v>
      </c>
      <c r="C23" s="7">
        <v>41</v>
      </c>
      <c r="D23" s="7">
        <v>33602</v>
      </c>
      <c r="E23" s="7">
        <v>26033</v>
      </c>
      <c r="F23" s="7"/>
      <c r="G23" s="7"/>
      <c r="H23" s="7">
        <v>139</v>
      </c>
      <c r="I23" s="7">
        <v>8713</v>
      </c>
      <c r="J23" s="7">
        <v>61582</v>
      </c>
      <c r="K23" s="7">
        <v>2338</v>
      </c>
      <c r="L23" s="7">
        <v>165195</v>
      </c>
    </row>
    <row r="24" spans="1:12" x14ac:dyDescent="0.35">
      <c r="A24" t="s">
        <v>82</v>
      </c>
      <c r="B24" s="7">
        <v>95</v>
      </c>
      <c r="C24" s="7"/>
      <c r="D24" s="7">
        <v>144327</v>
      </c>
      <c r="E24" s="7">
        <v>1424</v>
      </c>
      <c r="F24" s="7"/>
      <c r="G24" s="7"/>
      <c r="H24" s="7"/>
      <c r="I24" s="7">
        <v>703</v>
      </c>
      <c r="J24" s="7">
        <v>2078</v>
      </c>
      <c r="K24" s="7"/>
      <c r="L24" s="7">
        <v>148626</v>
      </c>
    </row>
    <row r="25" spans="1:12" x14ac:dyDescent="0.35">
      <c r="A25" t="s">
        <v>86</v>
      </c>
      <c r="B25" s="7">
        <v>871</v>
      </c>
      <c r="C25" s="7"/>
      <c r="D25" s="7">
        <v>18982</v>
      </c>
      <c r="E25" s="7">
        <v>21347</v>
      </c>
      <c r="F25" s="7"/>
      <c r="G25" s="7"/>
      <c r="H25" s="7">
        <v>1847</v>
      </c>
      <c r="I25" s="7">
        <v>1536</v>
      </c>
      <c r="J25" s="7">
        <v>38632</v>
      </c>
      <c r="K25" s="7">
        <v>1789</v>
      </c>
      <c r="L25" s="7">
        <v>85005</v>
      </c>
    </row>
    <row r="26" spans="1:12" x14ac:dyDescent="0.35">
      <c r="A26" t="s">
        <v>88</v>
      </c>
      <c r="B26" s="7">
        <v>282</v>
      </c>
      <c r="C26" s="7"/>
      <c r="D26" s="7">
        <v>17122</v>
      </c>
      <c r="E26" s="7">
        <v>13240</v>
      </c>
      <c r="F26" s="7"/>
      <c r="G26" s="7"/>
      <c r="H26" s="7">
        <v>169</v>
      </c>
      <c r="I26" s="7">
        <v>1769</v>
      </c>
      <c r="J26" s="7">
        <v>49098</v>
      </c>
      <c r="K26" s="7">
        <v>788</v>
      </c>
      <c r="L26" s="7">
        <v>82469</v>
      </c>
    </row>
    <row r="27" spans="1:12" x14ac:dyDescent="0.35">
      <c r="A27" t="s">
        <v>90</v>
      </c>
      <c r="B27" s="7">
        <v>44</v>
      </c>
      <c r="C27" s="7"/>
      <c r="D27" s="7">
        <v>6802</v>
      </c>
      <c r="E27" s="7">
        <v>39</v>
      </c>
      <c r="F27" s="7"/>
      <c r="G27" s="7"/>
      <c r="H27" s="7">
        <v>32</v>
      </c>
      <c r="I27" s="7"/>
      <c r="J27" s="7">
        <v>1456</v>
      </c>
      <c r="K27" s="7"/>
      <c r="L27" s="7">
        <v>8373</v>
      </c>
    </row>
    <row r="28" spans="1:12" x14ac:dyDescent="0.35">
      <c r="A28" t="s">
        <v>92</v>
      </c>
      <c r="B28" s="7"/>
      <c r="C28" s="7"/>
      <c r="D28" s="7">
        <v>2686</v>
      </c>
      <c r="E28" s="7">
        <v>1</v>
      </c>
      <c r="F28" s="7"/>
      <c r="G28" s="7"/>
      <c r="H28" s="7">
        <v>3</v>
      </c>
      <c r="I28" s="7"/>
      <c r="J28" s="7">
        <v>216</v>
      </c>
      <c r="K28" s="7"/>
      <c r="L28" s="7">
        <v>2906</v>
      </c>
    </row>
    <row r="29" spans="1:12" x14ac:dyDescent="0.35">
      <c r="A29" t="s">
        <v>94</v>
      </c>
      <c r="B29" s="7"/>
      <c r="C29" s="7"/>
      <c r="D29" s="7">
        <v>1718</v>
      </c>
      <c r="E29" s="7"/>
      <c r="F29" s="7"/>
      <c r="G29" s="7"/>
      <c r="H29" s="7">
        <v>1</v>
      </c>
      <c r="I29" s="7">
        <v>778</v>
      </c>
      <c r="J29" s="7">
        <v>302</v>
      </c>
      <c r="K29" s="7"/>
      <c r="L29" s="7">
        <v>2800</v>
      </c>
    </row>
    <row r="30" spans="1:12" x14ac:dyDescent="0.35">
      <c r="A30" t="s">
        <v>236</v>
      </c>
      <c r="B30" s="7">
        <v>1477</v>
      </c>
      <c r="C30" s="7">
        <v>505</v>
      </c>
      <c r="D30" s="7">
        <v>77556</v>
      </c>
      <c r="E30" s="7">
        <v>1625</v>
      </c>
      <c r="F30" s="7"/>
      <c r="G30" s="7"/>
      <c r="H30" s="7"/>
      <c r="I30" s="7"/>
      <c r="J30" s="7"/>
      <c r="K30" s="7"/>
      <c r="L30" s="7">
        <v>81164</v>
      </c>
    </row>
    <row r="32" spans="1:12" x14ac:dyDescent="0.35">
      <c r="B32" s="7">
        <f>SUM(B9,B10:B21,B22*-1)</f>
        <v>1</v>
      </c>
      <c r="C32" s="7">
        <f t="shared" ref="C32:L32" si="0">SUM(C9,C10:C21,C22*-1)</f>
        <v>0</v>
      </c>
      <c r="D32" s="7">
        <f t="shared" si="0"/>
        <v>0</v>
      </c>
      <c r="E32" s="7">
        <f t="shared" si="0"/>
        <v>1</v>
      </c>
      <c r="F32" s="7">
        <f t="shared" si="0"/>
        <v>0</v>
      </c>
      <c r="G32" s="7">
        <f t="shared" si="0"/>
        <v>0</v>
      </c>
      <c r="H32" s="7">
        <f t="shared" si="0"/>
        <v>0</v>
      </c>
      <c r="I32" s="7">
        <f t="shared" si="0"/>
        <v>2</v>
      </c>
      <c r="J32" s="7">
        <f t="shared" si="0"/>
        <v>0</v>
      </c>
      <c r="K32" s="7">
        <f t="shared" si="0"/>
        <v>0</v>
      </c>
      <c r="L32" s="7">
        <f t="shared" si="0"/>
        <v>1</v>
      </c>
    </row>
  </sheetData>
  <pageMargins left="0.7" right="0.7" top="0.75" bottom="0.75" header="0.3" footer="0.3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sheetPr codeName="Ark76"/>
  <dimension ref="A1:L32"/>
  <sheetViews>
    <sheetView workbookViewId="0">
      <selection activeCell="S27" sqref="S27"/>
    </sheetView>
  </sheetViews>
  <sheetFormatPr defaultRowHeight="14.5" x14ac:dyDescent="0.35"/>
  <cols>
    <col min="1" max="1" width="30" customWidth="1"/>
    <col min="2" max="2" width="11.54296875" customWidth="1"/>
    <col min="3" max="3" width="12" customWidth="1"/>
    <col min="4" max="4" width="14.54296875" customWidth="1"/>
    <col min="5" max="5" width="14.1796875" customWidth="1"/>
    <col min="8" max="8" width="22.81640625" customWidth="1"/>
    <col min="9" max="9" width="21.81640625" customWidth="1"/>
    <col min="10" max="10" width="13.81640625" customWidth="1"/>
    <col min="11" max="11" width="12.26953125" customWidth="1"/>
    <col min="12" max="12" width="11.81640625" customWidth="1"/>
  </cols>
  <sheetData>
    <row r="1" spans="1:12" x14ac:dyDescent="0.35">
      <c r="B1" t="s">
        <v>214</v>
      </c>
      <c r="C1" t="s">
        <v>2</v>
      </c>
      <c r="D1" t="s">
        <v>215</v>
      </c>
      <c r="E1" t="s">
        <v>216</v>
      </c>
      <c r="F1" t="s">
        <v>5</v>
      </c>
      <c r="G1" t="s">
        <v>6</v>
      </c>
      <c r="H1" t="s">
        <v>217</v>
      </c>
      <c r="I1" t="s">
        <v>8</v>
      </c>
      <c r="J1" t="s">
        <v>9</v>
      </c>
      <c r="K1" t="s">
        <v>10</v>
      </c>
      <c r="L1" t="s">
        <v>218</v>
      </c>
    </row>
    <row r="2" spans="1:12" x14ac:dyDescent="0.35">
      <c r="B2" t="s">
        <v>219</v>
      </c>
      <c r="C2" t="s">
        <v>219</v>
      </c>
      <c r="D2" t="s">
        <v>219</v>
      </c>
      <c r="E2" t="s">
        <v>219</v>
      </c>
      <c r="F2" t="s">
        <v>219</v>
      </c>
      <c r="G2" t="s">
        <v>219</v>
      </c>
      <c r="H2" t="s">
        <v>219</v>
      </c>
      <c r="I2" t="s">
        <v>219</v>
      </c>
      <c r="J2" t="s">
        <v>219</v>
      </c>
      <c r="K2" t="s">
        <v>219</v>
      </c>
      <c r="L2" t="s">
        <v>219</v>
      </c>
    </row>
    <row r="3" spans="1:12" x14ac:dyDescent="0.35">
      <c r="A3" t="s">
        <v>17</v>
      </c>
      <c r="B3" s="7">
        <v>302071</v>
      </c>
      <c r="C3" s="7">
        <v>21451</v>
      </c>
      <c r="D3" s="7"/>
      <c r="E3" s="7">
        <v>70696</v>
      </c>
      <c r="F3" s="7">
        <v>45389</v>
      </c>
      <c r="G3" s="7">
        <v>10932</v>
      </c>
      <c r="H3" s="7">
        <v>14250</v>
      </c>
      <c r="I3" s="7">
        <v>24630</v>
      </c>
      <c r="J3" s="7"/>
      <c r="K3" s="7">
        <v>64</v>
      </c>
      <c r="L3" s="7">
        <v>489484</v>
      </c>
    </row>
    <row r="4" spans="1:12" x14ac:dyDescent="0.35">
      <c r="A4" t="s">
        <v>220</v>
      </c>
      <c r="B4" s="7">
        <v>206976</v>
      </c>
      <c r="C4" s="7">
        <v>349419</v>
      </c>
      <c r="D4" s="7">
        <v>109471</v>
      </c>
      <c r="E4" s="7">
        <v>141190</v>
      </c>
      <c r="F4" s="7"/>
      <c r="G4" s="7"/>
      <c r="H4" s="7"/>
      <c r="I4" s="7">
        <v>757</v>
      </c>
      <c r="J4" s="7"/>
      <c r="K4" s="7"/>
      <c r="L4" s="7">
        <v>807813</v>
      </c>
    </row>
    <row r="5" spans="1:12" x14ac:dyDescent="0.35">
      <c r="A5" t="s">
        <v>221</v>
      </c>
      <c r="B5" s="7">
        <v>-255527</v>
      </c>
      <c r="C5" s="7">
        <v>-14977</v>
      </c>
      <c r="D5" s="7">
        <v>-89221</v>
      </c>
      <c r="E5" s="7">
        <v>-29363</v>
      </c>
      <c r="F5" s="7"/>
      <c r="G5" s="7"/>
      <c r="H5" s="7"/>
      <c r="I5" s="7"/>
      <c r="J5" s="7">
        <v>-447</v>
      </c>
      <c r="K5" s="7"/>
      <c r="L5" s="7">
        <v>-389535</v>
      </c>
    </row>
    <row r="6" spans="1:12" x14ac:dyDescent="0.35">
      <c r="A6" t="s">
        <v>222</v>
      </c>
      <c r="B6" s="7"/>
      <c r="C6" s="7"/>
      <c r="D6" s="7">
        <v>-14874</v>
      </c>
      <c r="E6" s="7"/>
      <c r="F6" s="7"/>
      <c r="G6" s="7"/>
      <c r="H6" s="7"/>
      <c r="I6" s="7"/>
      <c r="J6" s="7"/>
      <c r="K6" s="7"/>
      <c r="L6" s="7">
        <v>-14874</v>
      </c>
    </row>
    <row r="7" spans="1:12" x14ac:dyDescent="0.35">
      <c r="A7" t="s">
        <v>223</v>
      </c>
      <c r="B7" s="7"/>
      <c r="C7" s="7"/>
      <c r="D7" s="7">
        <v>-16497</v>
      </c>
      <c r="E7" s="7"/>
      <c r="F7" s="7"/>
      <c r="G7" s="7"/>
      <c r="H7" s="7"/>
      <c r="I7" s="7"/>
      <c r="J7" s="7"/>
      <c r="K7" s="7"/>
      <c r="L7" s="7">
        <v>-16497</v>
      </c>
    </row>
    <row r="8" spans="1:12" x14ac:dyDescent="0.35">
      <c r="A8" t="s">
        <v>224</v>
      </c>
      <c r="B8" s="7">
        <v>-2717</v>
      </c>
      <c r="C8" s="7">
        <v>-28</v>
      </c>
      <c r="D8" s="7">
        <v>242</v>
      </c>
      <c r="E8" s="7">
        <v>277</v>
      </c>
      <c r="F8" s="7"/>
      <c r="G8" s="7"/>
      <c r="H8" s="7"/>
      <c r="I8" s="7">
        <v>16</v>
      </c>
      <c r="J8" s="7"/>
      <c r="K8" s="7"/>
      <c r="L8" s="7">
        <v>-2210</v>
      </c>
    </row>
    <row r="9" spans="1:12" x14ac:dyDescent="0.35">
      <c r="A9" t="s">
        <v>225</v>
      </c>
      <c r="B9" s="7">
        <v>250804</v>
      </c>
      <c r="C9" s="7">
        <v>355866</v>
      </c>
      <c r="D9" s="7">
        <v>-10879</v>
      </c>
      <c r="E9" s="7">
        <v>182800</v>
      </c>
      <c r="F9" s="7">
        <v>45389</v>
      </c>
      <c r="G9" s="7">
        <v>10932</v>
      </c>
      <c r="H9" s="7">
        <v>14250</v>
      </c>
      <c r="I9" s="7">
        <v>25402</v>
      </c>
      <c r="J9" s="7">
        <v>-447</v>
      </c>
      <c r="K9" s="7">
        <v>64</v>
      </c>
      <c r="L9" s="7">
        <v>874182</v>
      </c>
    </row>
    <row r="10" spans="1:12" x14ac:dyDescent="0.35">
      <c r="A10" t="s">
        <v>226</v>
      </c>
      <c r="B10" s="7"/>
      <c r="C10" s="7">
        <v>-4041</v>
      </c>
      <c r="D10" s="7">
        <v>8353</v>
      </c>
      <c r="E10" s="7"/>
      <c r="F10" s="7"/>
      <c r="G10" s="7"/>
      <c r="H10" s="7"/>
      <c r="I10" s="7"/>
      <c r="J10" s="7"/>
      <c r="K10" s="7"/>
      <c r="L10" s="7">
        <v>4312</v>
      </c>
    </row>
    <row r="11" spans="1:12" x14ac:dyDescent="0.35">
      <c r="A11" t="s">
        <v>227</v>
      </c>
      <c r="B11" s="7">
        <v>-949</v>
      </c>
      <c r="C11" s="7">
        <v>1877</v>
      </c>
      <c r="D11" s="7">
        <v>-1470</v>
      </c>
      <c r="E11" s="7">
        <v>-970</v>
      </c>
      <c r="F11" s="7"/>
      <c r="G11" s="7"/>
      <c r="H11" s="7"/>
      <c r="I11" s="7">
        <v>-230</v>
      </c>
      <c r="J11" s="7">
        <v>-1328</v>
      </c>
      <c r="K11" s="7">
        <v>-354</v>
      </c>
      <c r="L11" s="7">
        <v>-3424</v>
      </c>
    </row>
    <row r="12" spans="1:12" x14ac:dyDescent="0.35">
      <c r="A12" t="s">
        <v>228</v>
      </c>
      <c r="B12" s="7">
        <v>-167334</v>
      </c>
      <c r="C12" s="7">
        <v>-4901</v>
      </c>
      <c r="D12" s="7">
        <v>-18379</v>
      </c>
      <c r="E12" s="7">
        <v>-101982</v>
      </c>
      <c r="F12" s="7">
        <v>-45389</v>
      </c>
      <c r="G12" s="7">
        <v>-10932</v>
      </c>
      <c r="H12" s="7">
        <v>-12674</v>
      </c>
      <c r="I12" s="7">
        <v>-7851</v>
      </c>
      <c r="J12" s="7">
        <v>163220</v>
      </c>
      <c r="K12" s="7">
        <v>-63</v>
      </c>
      <c r="L12" s="7">
        <v>-206284</v>
      </c>
    </row>
    <row r="13" spans="1:12" x14ac:dyDescent="0.35">
      <c r="A13" t="s">
        <v>66</v>
      </c>
      <c r="B13" s="7">
        <v>-7623</v>
      </c>
      <c r="C13" s="7"/>
      <c r="D13" s="7">
        <v>-2013</v>
      </c>
      <c r="E13" s="7">
        <v>-7726</v>
      </c>
      <c r="F13" s="7"/>
      <c r="G13" s="7"/>
      <c r="H13" s="7">
        <v>-75</v>
      </c>
      <c r="I13" s="7">
        <v>-872</v>
      </c>
      <c r="J13" s="7">
        <v>5601</v>
      </c>
      <c r="K13" s="7">
        <v>4342</v>
      </c>
      <c r="L13" s="7">
        <v>-8366</v>
      </c>
    </row>
    <row r="14" spans="1:12" x14ac:dyDescent="0.35">
      <c r="A14" t="s">
        <v>229</v>
      </c>
      <c r="B14" s="7"/>
      <c r="C14" s="7"/>
      <c r="D14" s="7">
        <v>-122</v>
      </c>
      <c r="E14" s="7">
        <v>-349</v>
      </c>
      <c r="F14" s="7"/>
      <c r="G14" s="7"/>
      <c r="H14" s="7"/>
      <c r="I14" s="7">
        <v>-474</v>
      </c>
      <c r="J14" s="7">
        <v>-86</v>
      </c>
      <c r="K14" s="7">
        <v>1039</v>
      </c>
      <c r="L14" s="7">
        <v>8</v>
      </c>
    </row>
    <row r="15" spans="1:12" x14ac:dyDescent="0.35">
      <c r="A15" t="s">
        <v>230</v>
      </c>
      <c r="B15" s="7">
        <v>1</v>
      </c>
      <c r="C15" s="7"/>
      <c r="D15" s="7">
        <v>-1282</v>
      </c>
      <c r="E15" s="7">
        <v>1475</v>
      </c>
      <c r="F15" s="7"/>
      <c r="G15" s="7"/>
      <c r="H15" s="7"/>
      <c r="I15" s="7">
        <v>-2</v>
      </c>
      <c r="J15" s="7"/>
      <c r="K15" s="7"/>
      <c r="L15" s="7">
        <v>191</v>
      </c>
    </row>
    <row r="16" spans="1:12" x14ac:dyDescent="0.35">
      <c r="A16" t="s">
        <v>70</v>
      </c>
      <c r="B16" s="7"/>
      <c r="C16" s="7">
        <v>-362815</v>
      </c>
      <c r="D16" s="7">
        <v>361679</v>
      </c>
      <c r="E16" s="7"/>
      <c r="F16" s="7"/>
      <c r="G16" s="7"/>
      <c r="H16" s="7"/>
      <c r="I16" s="7"/>
      <c r="J16" s="7"/>
      <c r="K16" s="7"/>
      <c r="L16" s="7">
        <v>-1136</v>
      </c>
    </row>
    <row r="17" spans="1:12" x14ac:dyDescent="0.35">
      <c r="A17" t="s">
        <v>231</v>
      </c>
      <c r="B17" s="7">
        <v>-31980</v>
      </c>
      <c r="C17" s="7"/>
      <c r="D17" s="7">
        <v>-473</v>
      </c>
      <c r="E17" s="7"/>
      <c r="F17" s="7"/>
      <c r="G17" s="7"/>
      <c r="H17" s="7"/>
      <c r="I17" s="7">
        <v>-114</v>
      </c>
      <c r="J17" s="7"/>
      <c r="K17" s="7"/>
      <c r="L17" s="7">
        <v>-32567</v>
      </c>
    </row>
    <row r="18" spans="1:12" x14ac:dyDescent="0.35">
      <c r="A18" t="s">
        <v>232</v>
      </c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</row>
    <row r="19" spans="1:12" x14ac:dyDescent="0.35">
      <c r="A19" t="s">
        <v>233</v>
      </c>
      <c r="B19" s="7"/>
      <c r="C19" s="7">
        <v>14380</v>
      </c>
      <c r="D19" s="7">
        <v>-13998</v>
      </c>
      <c r="E19" s="7">
        <v>-179</v>
      </c>
      <c r="F19" s="7"/>
      <c r="G19" s="7"/>
      <c r="H19" s="7"/>
      <c r="I19" s="7">
        <v>-12</v>
      </c>
      <c r="J19" s="7"/>
      <c r="K19" s="7"/>
      <c r="L19" s="7">
        <v>191</v>
      </c>
    </row>
    <row r="20" spans="1:12" x14ac:dyDescent="0.35">
      <c r="A20" t="s">
        <v>234</v>
      </c>
      <c r="B20" s="7">
        <v>-7466</v>
      </c>
      <c r="C20" s="7">
        <v>-58</v>
      </c>
      <c r="D20" s="7">
        <v>-19530</v>
      </c>
      <c r="E20" s="7">
        <v>-6672</v>
      </c>
      <c r="F20" s="7"/>
      <c r="G20" s="7"/>
      <c r="H20" s="7"/>
      <c r="I20" s="7"/>
      <c r="J20" s="7">
        <v>-9884</v>
      </c>
      <c r="K20" s="7">
        <v>-95</v>
      </c>
      <c r="L20" s="7">
        <v>-43705</v>
      </c>
    </row>
    <row r="21" spans="1:12" x14ac:dyDescent="0.35">
      <c r="A21" t="s">
        <v>235</v>
      </c>
      <c r="B21" s="7">
        <v>-6</v>
      </c>
      <c r="C21" s="7"/>
      <c r="D21" s="7"/>
      <c r="E21" s="7">
        <v>-18</v>
      </c>
      <c r="F21" s="7"/>
      <c r="G21" s="7"/>
      <c r="H21" s="7"/>
      <c r="I21" s="7"/>
      <c r="J21" s="7">
        <v>-6616</v>
      </c>
      <c r="K21" s="7">
        <v>-60</v>
      </c>
      <c r="L21" s="7">
        <v>-6700</v>
      </c>
    </row>
    <row r="22" spans="1:12" x14ac:dyDescent="0.35">
      <c r="A22" t="s">
        <v>131</v>
      </c>
      <c r="B22" s="7">
        <v>35447</v>
      </c>
      <c r="C22" s="7">
        <v>309</v>
      </c>
      <c r="D22" s="7">
        <v>301886</v>
      </c>
      <c r="E22" s="7">
        <v>66379</v>
      </c>
      <c r="F22" s="7"/>
      <c r="G22" s="7"/>
      <c r="H22" s="7">
        <v>1501</v>
      </c>
      <c r="I22" s="7">
        <v>15847</v>
      </c>
      <c r="J22" s="7">
        <v>150460</v>
      </c>
      <c r="K22" s="7">
        <v>4873</v>
      </c>
      <c r="L22" s="7">
        <v>576703</v>
      </c>
    </row>
    <row r="23" spans="1:12" x14ac:dyDescent="0.35">
      <c r="A23" t="s">
        <v>80</v>
      </c>
      <c r="B23" s="7">
        <v>33115</v>
      </c>
      <c r="C23" s="7">
        <v>40</v>
      </c>
      <c r="D23" s="7">
        <v>28490</v>
      </c>
      <c r="E23" s="7">
        <v>27544</v>
      </c>
      <c r="F23" s="7"/>
      <c r="G23" s="7"/>
      <c r="H23" s="7">
        <v>121</v>
      </c>
      <c r="I23" s="7">
        <v>9856</v>
      </c>
      <c r="J23" s="7">
        <v>61096</v>
      </c>
      <c r="K23" s="7">
        <v>2571</v>
      </c>
      <c r="L23" s="7">
        <v>162833</v>
      </c>
    </row>
    <row r="24" spans="1:12" x14ac:dyDescent="0.35">
      <c r="A24" t="s">
        <v>82</v>
      </c>
      <c r="B24" s="7">
        <v>2</v>
      </c>
      <c r="C24" s="7"/>
      <c r="D24" s="7">
        <v>144754</v>
      </c>
      <c r="E24" s="7">
        <v>1551</v>
      </c>
      <c r="F24" s="7"/>
      <c r="G24" s="7"/>
      <c r="H24" s="7"/>
      <c r="I24" s="7">
        <v>1012</v>
      </c>
      <c r="J24" s="7">
        <v>2199</v>
      </c>
      <c r="K24" s="7"/>
      <c r="L24" s="7">
        <v>149517</v>
      </c>
    </row>
    <row r="25" spans="1:12" x14ac:dyDescent="0.35">
      <c r="A25" t="s">
        <v>86</v>
      </c>
      <c r="B25" s="7">
        <v>665</v>
      </c>
      <c r="C25" s="7"/>
      <c r="D25" s="7">
        <v>15732</v>
      </c>
      <c r="E25" s="7">
        <v>20411</v>
      </c>
      <c r="F25" s="7"/>
      <c r="G25" s="7"/>
      <c r="H25" s="7">
        <v>1080</v>
      </c>
      <c r="I25" s="7">
        <v>1468</v>
      </c>
      <c r="J25" s="7">
        <v>36198</v>
      </c>
      <c r="K25" s="7">
        <v>1576</v>
      </c>
      <c r="L25" s="7">
        <v>77130</v>
      </c>
    </row>
    <row r="26" spans="1:12" x14ac:dyDescent="0.35">
      <c r="A26" t="s">
        <v>88</v>
      </c>
      <c r="B26" s="7">
        <v>221</v>
      </c>
      <c r="C26" s="7"/>
      <c r="D26" s="7">
        <v>15158</v>
      </c>
      <c r="E26" s="7">
        <v>13994</v>
      </c>
      <c r="F26" s="7"/>
      <c r="G26" s="7"/>
      <c r="H26" s="7">
        <v>243</v>
      </c>
      <c r="I26" s="7">
        <v>2804</v>
      </c>
      <c r="J26" s="7">
        <v>48377</v>
      </c>
      <c r="K26" s="7">
        <v>726</v>
      </c>
      <c r="L26" s="7">
        <v>81521</v>
      </c>
    </row>
    <row r="27" spans="1:12" x14ac:dyDescent="0.35">
      <c r="A27" t="s">
        <v>90</v>
      </c>
      <c r="B27" s="7">
        <v>47</v>
      </c>
      <c r="C27" s="7"/>
      <c r="D27" s="7">
        <v>5981</v>
      </c>
      <c r="E27" s="7">
        <v>67</v>
      </c>
      <c r="F27" s="7"/>
      <c r="G27" s="7"/>
      <c r="H27" s="7">
        <v>47</v>
      </c>
      <c r="I27" s="7">
        <v>65</v>
      </c>
      <c r="J27" s="7">
        <v>1921</v>
      </c>
      <c r="K27" s="7"/>
      <c r="L27" s="7">
        <v>8129</v>
      </c>
    </row>
    <row r="28" spans="1:12" x14ac:dyDescent="0.35">
      <c r="A28" t="s">
        <v>92</v>
      </c>
      <c r="B28" s="7"/>
      <c r="C28" s="7"/>
      <c r="D28" s="7">
        <v>2367</v>
      </c>
      <c r="E28" s="7"/>
      <c r="F28" s="7"/>
      <c r="G28" s="7"/>
      <c r="H28" s="7">
        <v>3</v>
      </c>
      <c r="I28" s="7"/>
      <c r="J28" s="7">
        <v>289</v>
      </c>
      <c r="K28" s="7"/>
      <c r="L28" s="7">
        <v>2659</v>
      </c>
    </row>
    <row r="29" spans="1:12" x14ac:dyDescent="0.35">
      <c r="A29" t="s">
        <v>94</v>
      </c>
      <c r="B29" s="7"/>
      <c r="C29" s="7"/>
      <c r="D29" s="7">
        <v>1640</v>
      </c>
      <c r="E29" s="7">
        <v>67</v>
      </c>
      <c r="F29" s="7"/>
      <c r="G29" s="7"/>
      <c r="H29" s="7">
        <v>7</v>
      </c>
      <c r="I29" s="7">
        <v>641</v>
      </c>
      <c r="J29" s="7">
        <v>381</v>
      </c>
      <c r="K29" s="7"/>
      <c r="L29" s="7">
        <v>2736</v>
      </c>
    </row>
    <row r="30" spans="1:12" x14ac:dyDescent="0.35">
      <c r="A30" t="s">
        <v>236</v>
      </c>
      <c r="B30" s="7">
        <v>1399</v>
      </c>
      <c r="C30" s="7">
        <v>269</v>
      </c>
      <c r="D30" s="7">
        <v>87763</v>
      </c>
      <c r="E30" s="7">
        <v>2746</v>
      </c>
      <c r="F30" s="7"/>
      <c r="G30" s="7"/>
      <c r="H30" s="7"/>
      <c r="I30" s="7"/>
      <c r="J30" s="7"/>
      <c r="K30" s="7"/>
      <c r="L30" s="7">
        <v>92177</v>
      </c>
    </row>
    <row r="32" spans="1:12" x14ac:dyDescent="0.35">
      <c r="B32" s="7">
        <f>SUM(B9,B10:B21,B22*-1)</f>
        <v>0</v>
      </c>
      <c r="C32" s="7">
        <f t="shared" ref="C32:L32" si="0">SUM(C9,C10:C21,C22*-1)</f>
        <v>-1</v>
      </c>
      <c r="D32" s="7">
        <f t="shared" si="0"/>
        <v>0</v>
      </c>
      <c r="E32" s="7">
        <f t="shared" si="0"/>
        <v>0</v>
      </c>
      <c r="F32" s="7">
        <f t="shared" si="0"/>
        <v>0</v>
      </c>
      <c r="G32" s="7">
        <f t="shared" si="0"/>
        <v>0</v>
      </c>
      <c r="H32" s="7">
        <f t="shared" si="0"/>
        <v>0</v>
      </c>
      <c r="I32" s="7">
        <f t="shared" si="0"/>
        <v>0</v>
      </c>
      <c r="J32" s="7">
        <f t="shared" si="0"/>
        <v>0</v>
      </c>
      <c r="K32" s="7">
        <f t="shared" si="0"/>
        <v>0</v>
      </c>
      <c r="L32" s="7">
        <f t="shared" si="0"/>
        <v>-1</v>
      </c>
    </row>
  </sheetData>
  <pageMargins left="0.7" right="0.7" top="0.75" bottom="0.75" header="0.3" footer="0.3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sheetPr codeName="Ark77"/>
  <dimension ref="A1:L32"/>
  <sheetViews>
    <sheetView workbookViewId="0">
      <selection activeCell="L15" sqref="L15"/>
    </sheetView>
  </sheetViews>
  <sheetFormatPr defaultRowHeight="14.5" x14ac:dyDescent="0.35"/>
  <cols>
    <col min="1" max="1" width="30" customWidth="1"/>
    <col min="2" max="2" width="11.54296875" customWidth="1"/>
    <col min="3" max="3" width="12" customWidth="1"/>
    <col min="4" max="4" width="14.54296875" customWidth="1"/>
    <col min="5" max="5" width="14.1796875" customWidth="1"/>
    <col min="8" max="8" width="22.81640625" customWidth="1"/>
    <col min="9" max="9" width="21.81640625" customWidth="1"/>
    <col min="10" max="10" width="13.81640625" customWidth="1"/>
    <col min="11" max="11" width="12.26953125" customWidth="1"/>
    <col min="12" max="12" width="11.81640625" customWidth="1"/>
  </cols>
  <sheetData>
    <row r="1" spans="1:12" x14ac:dyDescent="0.35">
      <c r="B1" t="s">
        <v>214</v>
      </c>
      <c r="C1" t="s">
        <v>2</v>
      </c>
      <c r="D1" t="s">
        <v>215</v>
      </c>
      <c r="E1" t="s">
        <v>216</v>
      </c>
      <c r="F1" t="s">
        <v>5</v>
      </c>
      <c r="G1" t="s">
        <v>6</v>
      </c>
      <c r="H1" t="s">
        <v>217</v>
      </c>
      <c r="I1" t="s">
        <v>8</v>
      </c>
      <c r="J1" t="s">
        <v>9</v>
      </c>
      <c r="K1" t="s">
        <v>10</v>
      </c>
      <c r="L1" t="s">
        <v>218</v>
      </c>
    </row>
    <row r="2" spans="1:12" x14ac:dyDescent="0.35">
      <c r="B2" t="s">
        <v>219</v>
      </c>
      <c r="C2" t="s">
        <v>219</v>
      </c>
      <c r="D2" t="s">
        <v>219</v>
      </c>
      <c r="E2" t="s">
        <v>219</v>
      </c>
      <c r="F2" t="s">
        <v>219</v>
      </c>
      <c r="G2" t="s">
        <v>219</v>
      </c>
      <c r="H2" t="s">
        <v>219</v>
      </c>
      <c r="I2" t="s">
        <v>219</v>
      </c>
      <c r="J2" t="s">
        <v>219</v>
      </c>
      <c r="K2" t="s">
        <v>219</v>
      </c>
      <c r="L2" t="s">
        <v>219</v>
      </c>
    </row>
    <row r="3" spans="1:12" x14ac:dyDescent="0.35">
      <c r="A3" t="s">
        <v>17</v>
      </c>
      <c r="B3" s="7">
        <v>290561</v>
      </c>
      <c r="C3" s="7">
        <v>16386</v>
      </c>
      <c r="D3" s="7"/>
      <c r="E3" s="7">
        <v>114807</v>
      </c>
      <c r="F3" s="7">
        <v>51704</v>
      </c>
      <c r="G3" s="7">
        <v>10872</v>
      </c>
      <c r="H3" s="7">
        <v>18277</v>
      </c>
      <c r="I3" s="7">
        <v>28042</v>
      </c>
      <c r="J3" s="7"/>
      <c r="K3" s="7">
        <v>52</v>
      </c>
      <c r="L3" s="7">
        <v>530701</v>
      </c>
    </row>
    <row r="4" spans="1:12" x14ac:dyDescent="0.35">
      <c r="A4" t="s">
        <v>220</v>
      </c>
      <c r="B4" s="7">
        <v>199766</v>
      </c>
      <c r="C4" s="7">
        <v>342903</v>
      </c>
      <c r="D4" s="7">
        <v>120355</v>
      </c>
      <c r="E4" s="7">
        <v>148473</v>
      </c>
      <c r="F4" s="7"/>
      <c r="G4" s="7"/>
      <c r="H4" s="7"/>
      <c r="I4" s="7">
        <v>1402</v>
      </c>
      <c r="J4" s="7"/>
      <c r="K4" s="7"/>
      <c r="L4" s="7">
        <v>812899</v>
      </c>
    </row>
    <row r="5" spans="1:12" x14ac:dyDescent="0.35">
      <c r="A5" t="s">
        <v>221</v>
      </c>
      <c r="B5" s="7">
        <v>-248706</v>
      </c>
      <c r="C5" s="7">
        <v>-12686</v>
      </c>
      <c r="D5" s="7">
        <v>-96587</v>
      </c>
      <c r="E5" s="7">
        <v>-72654</v>
      </c>
      <c r="F5" s="7"/>
      <c r="G5" s="7"/>
      <c r="H5" s="7"/>
      <c r="I5" s="7"/>
      <c r="J5" s="7">
        <v>-504</v>
      </c>
      <c r="K5" s="7"/>
      <c r="L5" s="7">
        <v>-431137</v>
      </c>
    </row>
    <row r="6" spans="1:12" x14ac:dyDescent="0.35">
      <c r="A6" t="s">
        <v>222</v>
      </c>
      <c r="B6" s="7"/>
      <c r="C6" s="7"/>
      <c r="D6" s="7">
        <v>-15183</v>
      </c>
      <c r="E6" s="7"/>
      <c r="F6" s="7"/>
      <c r="G6" s="7"/>
      <c r="H6" s="7"/>
      <c r="I6" s="7"/>
      <c r="J6" s="7"/>
      <c r="K6" s="7"/>
      <c r="L6" s="7">
        <v>-15183</v>
      </c>
    </row>
    <row r="7" spans="1:12" x14ac:dyDescent="0.35">
      <c r="A7" t="s">
        <v>223</v>
      </c>
      <c r="B7" s="7"/>
      <c r="C7" s="7"/>
      <c r="D7" s="7">
        <v>-19804</v>
      </c>
      <c r="E7" s="7"/>
      <c r="F7" s="7"/>
      <c r="G7" s="7"/>
      <c r="H7" s="7"/>
      <c r="I7" s="7"/>
      <c r="J7" s="7"/>
      <c r="K7" s="7"/>
      <c r="L7" s="7">
        <v>-19804</v>
      </c>
    </row>
    <row r="8" spans="1:12" x14ac:dyDescent="0.35">
      <c r="A8" t="s">
        <v>224</v>
      </c>
      <c r="B8" s="7">
        <v>2257</v>
      </c>
      <c r="C8" s="7">
        <v>2082</v>
      </c>
      <c r="D8" s="7">
        <v>-1112</v>
      </c>
      <c r="E8" s="7">
        <v>-1628</v>
      </c>
      <c r="F8" s="7"/>
      <c r="G8" s="7"/>
      <c r="H8" s="7"/>
      <c r="I8" s="7">
        <v>2</v>
      </c>
      <c r="J8" s="7"/>
      <c r="K8" s="7"/>
      <c r="L8" s="7">
        <v>1601</v>
      </c>
    </row>
    <row r="9" spans="1:12" x14ac:dyDescent="0.35">
      <c r="A9" t="s">
        <v>225</v>
      </c>
      <c r="B9" s="7">
        <v>243878</v>
      </c>
      <c r="C9" s="7">
        <v>348686</v>
      </c>
      <c r="D9" s="7">
        <v>-12331</v>
      </c>
      <c r="E9" s="7">
        <v>188998</v>
      </c>
      <c r="F9" s="7">
        <v>51704</v>
      </c>
      <c r="G9" s="7">
        <v>10872</v>
      </c>
      <c r="H9" s="7">
        <v>18277</v>
      </c>
      <c r="I9" s="7">
        <v>29446</v>
      </c>
      <c r="J9" s="7">
        <v>-504</v>
      </c>
      <c r="K9" s="7">
        <v>52</v>
      </c>
      <c r="L9" s="7">
        <v>879077</v>
      </c>
    </row>
    <row r="10" spans="1:12" x14ac:dyDescent="0.35">
      <c r="A10" t="s">
        <v>226</v>
      </c>
      <c r="B10" s="7"/>
      <c r="C10" s="7">
        <v>2568</v>
      </c>
      <c r="D10" s="7">
        <v>1159</v>
      </c>
      <c r="E10" s="7"/>
      <c r="F10" s="7"/>
      <c r="G10" s="7"/>
      <c r="H10" s="7"/>
      <c r="I10" s="7"/>
      <c r="J10" s="7"/>
      <c r="K10" s="7"/>
      <c r="L10" s="7">
        <v>3726</v>
      </c>
    </row>
    <row r="11" spans="1:12" x14ac:dyDescent="0.35">
      <c r="A11" t="s">
        <v>227</v>
      </c>
      <c r="B11" s="7">
        <v>1568</v>
      </c>
      <c r="C11" s="7">
        <v>1131</v>
      </c>
      <c r="D11" s="7">
        <v>-4279</v>
      </c>
      <c r="E11" s="7">
        <v>-19</v>
      </c>
      <c r="F11" s="7"/>
      <c r="G11" s="7"/>
      <c r="H11" s="7"/>
      <c r="I11" s="7">
        <v>-282</v>
      </c>
      <c r="J11" s="7">
        <v>-762</v>
      </c>
      <c r="K11" s="7">
        <v>-294</v>
      </c>
      <c r="L11" s="7">
        <v>-2936</v>
      </c>
    </row>
    <row r="12" spans="1:12" x14ac:dyDescent="0.35">
      <c r="A12" t="s">
        <v>228</v>
      </c>
      <c r="B12" s="7">
        <v>-165571</v>
      </c>
      <c r="C12" s="7">
        <v>-505</v>
      </c>
      <c r="D12" s="7">
        <v>-12872</v>
      </c>
      <c r="E12" s="7">
        <v>-99741</v>
      </c>
      <c r="F12" s="7">
        <v>-51704</v>
      </c>
      <c r="G12" s="7">
        <v>-10872</v>
      </c>
      <c r="H12" s="7">
        <v>-16615</v>
      </c>
      <c r="I12" s="7">
        <v>-11307</v>
      </c>
      <c r="J12" s="7">
        <v>164738</v>
      </c>
      <c r="K12" s="7">
        <v>-61</v>
      </c>
      <c r="L12" s="7">
        <v>-204510</v>
      </c>
    </row>
    <row r="13" spans="1:12" x14ac:dyDescent="0.35">
      <c r="A13" t="s">
        <v>66</v>
      </c>
      <c r="B13" s="7">
        <v>-6504</v>
      </c>
      <c r="C13" s="7"/>
      <c r="D13" s="7">
        <v>-1654</v>
      </c>
      <c r="E13" s="7">
        <v>-12805</v>
      </c>
      <c r="F13" s="7"/>
      <c r="G13" s="7"/>
      <c r="H13" s="7">
        <v>-76</v>
      </c>
      <c r="I13" s="7">
        <v>-1366</v>
      </c>
      <c r="J13" s="7">
        <v>8147</v>
      </c>
      <c r="K13" s="7">
        <v>5405</v>
      </c>
      <c r="L13" s="7">
        <v>-8853</v>
      </c>
    </row>
    <row r="14" spans="1:12" x14ac:dyDescent="0.35">
      <c r="A14" t="s">
        <v>229</v>
      </c>
      <c r="B14" s="7"/>
      <c r="C14" s="7"/>
      <c r="D14" s="7">
        <v>-224</v>
      </c>
      <c r="E14" s="7">
        <v>-396</v>
      </c>
      <c r="F14" s="7"/>
      <c r="G14" s="7"/>
      <c r="H14" s="7"/>
      <c r="I14" s="7">
        <v>-556</v>
      </c>
      <c r="J14" s="7">
        <v>-86</v>
      </c>
      <c r="K14" s="7">
        <v>1159</v>
      </c>
      <c r="L14" s="7">
        <v>-103</v>
      </c>
    </row>
    <row r="15" spans="1:12" x14ac:dyDescent="0.35">
      <c r="A15" t="s">
        <v>230</v>
      </c>
      <c r="B15" s="7">
        <v>1</v>
      </c>
      <c r="C15" s="7"/>
      <c r="D15" s="7">
        <v>-1616</v>
      </c>
      <c r="E15" s="7">
        <v>1659</v>
      </c>
      <c r="F15" s="7"/>
      <c r="G15" s="7"/>
      <c r="H15" s="7"/>
      <c r="I15" s="7">
        <v>-3</v>
      </c>
      <c r="J15" s="7"/>
      <c r="K15" s="7"/>
      <c r="L15" s="7">
        <v>41</v>
      </c>
    </row>
    <row r="16" spans="1:12" x14ac:dyDescent="0.35">
      <c r="A16" t="s">
        <v>70</v>
      </c>
      <c r="B16" s="7"/>
      <c r="C16" s="7">
        <v>-368891</v>
      </c>
      <c r="D16" s="7">
        <v>365180</v>
      </c>
      <c r="E16" s="7"/>
      <c r="F16" s="7"/>
      <c r="G16" s="7"/>
      <c r="H16" s="7"/>
      <c r="I16" s="7"/>
      <c r="J16" s="7"/>
      <c r="K16" s="7"/>
      <c r="L16" s="7">
        <v>-3711</v>
      </c>
    </row>
    <row r="17" spans="1:12" x14ac:dyDescent="0.35">
      <c r="A17" t="s">
        <v>231</v>
      </c>
      <c r="B17" s="7">
        <v>-32001</v>
      </c>
      <c r="C17" s="7"/>
      <c r="D17" s="7">
        <v>-451</v>
      </c>
      <c r="E17" s="7"/>
      <c r="F17" s="7"/>
      <c r="G17" s="7"/>
      <c r="H17" s="7"/>
      <c r="I17" s="7">
        <v>-108</v>
      </c>
      <c r="J17" s="7"/>
      <c r="K17" s="7"/>
      <c r="L17" s="7">
        <v>-32560</v>
      </c>
    </row>
    <row r="18" spans="1:12" x14ac:dyDescent="0.35">
      <c r="A18" t="s">
        <v>232</v>
      </c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</row>
    <row r="19" spans="1:12" x14ac:dyDescent="0.35">
      <c r="A19" t="s">
        <v>233</v>
      </c>
      <c r="B19" s="7"/>
      <c r="C19" s="7">
        <v>17211</v>
      </c>
      <c r="D19" s="7">
        <v>-16373</v>
      </c>
      <c r="E19" s="7">
        <v>-178</v>
      </c>
      <c r="F19" s="7"/>
      <c r="G19" s="7"/>
      <c r="H19" s="7"/>
      <c r="I19" s="7">
        <v>-12</v>
      </c>
      <c r="J19" s="7"/>
      <c r="K19" s="7"/>
      <c r="L19" s="7">
        <v>647</v>
      </c>
    </row>
    <row r="20" spans="1:12" x14ac:dyDescent="0.35">
      <c r="A20" t="s">
        <v>234</v>
      </c>
      <c r="B20" s="7">
        <v>-7068</v>
      </c>
      <c r="C20" s="7">
        <v>-89</v>
      </c>
      <c r="D20" s="7">
        <v>-17509</v>
      </c>
      <c r="E20" s="7">
        <v>-9403</v>
      </c>
      <c r="F20" s="7"/>
      <c r="G20" s="7"/>
      <c r="H20" s="7"/>
      <c r="I20" s="7">
        <v>-146</v>
      </c>
      <c r="J20" s="7">
        <v>-10858</v>
      </c>
      <c r="K20" s="7">
        <v>-118</v>
      </c>
      <c r="L20" s="7">
        <v>-45191</v>
      </c>
    </row>
    <row r="21" spans="1:12" x14ac:dyDescent="0.35">
      <c r="A21" t="s">
        <v>235</v>
      </c>
      <c r="B21" s="7">
        <v>-7</v>
      </c>
      <c r="C21" s="7"/>
      <c r="D21" s="7"/>
      <c r="E21" s="7">
        <v>-13</v>
      </c>
      <c r="F21" s="7"/>
      <c r="G21" s="7"/>
      <c r="H21" s="7"/>
      <c r="I21" s="7"/>
      <c r="J21" s="7">
        <v>-7057</v>
      </c>
      <c r="K21" s="7">
        <v>-60</v>
      </c>
      <c r="L21" s="7">
        <v>-7138</v>
      </c>
    </row>
    <row r="22" spans="1:12" x14ac:dyDescent="0.35">
      <c r="A22" t="s">
        <v>131</v>
      </c>
      <c r="B22" s="7">
        <v>34297</v>
      </c>
      <c r="C22" s="7">
        <v>111</v>
      </c>
      <c r="D22" s="7">
        <v>299030</v>
      </c>
      <c r="E22" s="7">
        <v>68100</v>
      </c>
      <c r="F22" s="7"/>
      <c r="G22" s="7"/>
      <c r="H22" s="7">
        <v>1586</v>
      </c>
      <c r="I22" s="7">
        <v>15666</v>
      </c>
      <c r="J22" s="7">
        <v>153618</v>
      </c>
      <c r="K22" s="7">
        <v>6082</v>
      </c>
      <c r="L22" s="7">
        <v>578491</v>
      </c>
    </row>
    <row r="23" spans="1:12" x14ac:dyDescent="0.35">
      <c r="A23" t="s">
        <v>80</v>
      </c>
      <c r="B23" s="7">
        <v>32204</v>
      </c>
      <c r="C23" s="7">
        <v>38</v>
      </c>
      <c r="D23" s="7">
        <v>25502</v>
      </c>
      <c r="E23" s="7">
        <v>27538</v>
      </c>
      <c r="F23" s="7"/>
      <c r="G23" s="7"/>
      <c r="H23" s="7">
        <v>116</v>
      </c>
      <c r="I23" s="7">
        <v>10136</v>
      </c>
      <c r="J23" s="7">
        <v>62504</v>
      </c>
      <c r="K23" s="7">
        <v>3162</v>
      </c>
      <c r="L23" s="7">
        <v>161201</v>
      </c>
    </row>
    <row r="24" spans="1:12" x14ac:dyDescent="0.35">
      <c r="A24" t="s">
        <v>82</v>
      </c>
      <c r="B24" s="7">
        <v>1</v>
      </c>
      <c r="C24" s="7"/>
      <c r="D24" s="7">
        <v>145927</v>
      </c>
      <c r="E24" s="7">
        <v>1671</v>
      </c>
      <c r="F24" s="7"/>
      <c r="G24" s="7"/>
      <c r="H24" s="7"/>
      <c r="I24" s="7">
        <v>1193</v>
      </c>
      <c r="J24" s="7">
        <v>2274</v>
      </c>
      <c r="K24" s="7"/>
      <c r="L24" s="7">
        <v>151066</v>
      </c>
    </row>
    <row r="25" spans="1:12" x14ac:dyDescent="0.35">
      <c r="A25" t="s">
        <v>86</v>
      </c>
      <c r="B25" s="7">
        <v>466</v>
      </c>
      <c r="C25" s="7"/>
      <c r="D25" s="7">
        <v>14976</v>
      </c>
      <c r="E25" s="7">
        <v>21854</v>
      </c>
      <c r="F25" s="7"/>
      <c r="G25" s="7"/>
      <c r="H25" s="7">
        <v>1100</v>
      </c>
      <c r="I25" s="7">
        <v>1488</v>
      </c>
      <c r="J25" s="7">
        <v>36002</v>
      </c>
      <c r="K25" s="7">
        <v>2075</v>
      </c>
      <c r="L25" s="7">
        <v>77962</v>
      </c>
    </row>
    <row r="26" spans="1:12" x14ac:dyDescent="0.35">
      <c r="A26" t="s">
        <v>88</v>
      </c>
      <c r="B26" s="7">
        <v>204</v>
      </c>
      <c r="C26" s="7"/>
      <c r="D26" s="7">
        <v>13176</v>
      </c>
      <c r="E26" s="7">
        <v>14298</v>
      </c>
      <c r="F26" s="7"/>
      <c r="G26" s="7"/>
      <c r="H26" s="7">
        <v>306</v>
      </c>
      <c r="I26" s="7">
        <v>2227</v>
      </c>
      <c r="J26" s="7">
        <v>50084</v>
      </c>
      <c r="K26" s="7">
        <v>844</v>
      </c>
      <c r="L26" s="7">
        <v>81139</v>
      </c>
    </row>
    <row r="27" spans="1:12" x14ac:dyDescent="0.35">
      <c r="A27" t="s">
        <v>90</v>
      </c>
      <c r="B27" s="7">
        <v>45</v>
      </c>
      <c r="C27" s="7"/>
      <c r="D27" s="7">
        <v>6141</v>
      </c>
      <c r="E27" s="7">
        <v>57</v>
      </c>
      <c r="F27" s="7"/>
      <c r="G27" s="7"/>
      <c r="H27" s="7">
        <v>54</v>
      </c>
      <c r="I27" s="7">
        <v>70</v>
      </c>
      <c r="J27" s="7">
        <v>2076</v>
      </c>
      <c r="K27" s="7"/>
      <c r="L27" s="7">
        <v>8443</v>
      </c>
    </row>
    <row r="28" spans="1:12" x14ac:dyDescent="0.35">
      <c r="A28" t="s">
        <v>92</v>
      </c>
      <c r="B28" s="7"/>
      <c r="C28" s="7"/>
      <c r="D28" s="7">
        <v>2088</v>
      </c>
      <c r="E28" s="7">
        <v>1</v>
      </c>
      <c r="F28" s="7"/>
      <c r="G28" s="7"/>
      <c r="H28" s="7">
        <v>3</v>
      </c>
      <c r="I28" s="7"/>
      <c r="J28" s="7">
        <v>287</v>
      </c>
      <c r="K28" s="7"/>
      <c r="L28" s="7">
        <v>2379</v>
      </c>
    </row>
    <row r="29" spans="1:12" x14ac:dyDescent="0.35">
      <c r="A29" t="s">
        <v>94</v>
      </c>
      <c r="B29" s="7"/>
      <c r="C29" s="7"/>
      <c r="D29" s="7">
        <v>1607</v>
      </c>
      <c r="E29" s="7">
        <v>95</v>
      </c>
      <c r="F29" s="7"/>
      <c r="G29" s="7"/>
      <c r="H29" s="7">
        <v>7</v>
      </c>
      <c r="I29" s="7">
        <v>551</v>
      </c>
      <c r="J29" s="7">
        <v>391</v>
      </c>
      <c r="K29" s="7"/>
      <c r="L29" s="7">
        <v>2651</v>
      </c>
    </row>
    <row r="30" spans="1:12" x14ac:dyDescent="0.35">
      <c r="A30" t="s">
        <v>236</v>
      </c>
      <c r="B30" s="7">
        <v>1377</v>
      </c>
      <c r="C30" s="7">
        <v>73</v>
      </c>
      <c r="D30" s="7">
        <v>89614</v>
      </c>
      <c r="E30" s="7">
        <v>2587</v>
      </c>
      <c r="F30" s="7"/>
      <c r="G30" s="7"/>
      <c r="H30" s="7"/>
      <c r="I30" s="7"/>
      <c r="J30" s="7"/>
      <c r="K30" s="7"/>
      <c r="L30" s="7">
        <v>93650</v>
      </c>
    </row>
    <row r="32" spans="1:12" x14ac:dyDescent="0.35">
      <c r="B32" s="7">
        <f>SUM(B9,B10:B21,B22*-1)</f>
        <v>-1</v>
      </c>
      <c r="C32" s="7">
        <f t="shared" ref="C32:L32" si="0">SUM(C9,C10:C21,C22*-1)</f>
        <v>0</v>
      </c>
      <c r="D32" s="7">
        <f t="shared" si="0"/>
        <v>0</v>
      </c>
      <c r="E32" s="7">
        <f t="shared" si="0"/>
        <v>2</v>
      </c>
      <c r="F32" s="7">
        <f t="shared" si="0"/>
        <v>0</v>
      </c>
      <c r="G32" s="7">
        <f t="shared" si="0"/>
        <v>0</v>
      </c>
      <c r="H32" s="7">
        <f t="shared" si="0"/>
        <v>0</v>
      </c>
      <c r="I32" s="7">
        <f t="shared" si="0"/>
        <v>0</v>
      </c>
      <c r="J32" s="7">
        <f t="shared" si="0"/>
        <v>0</v>
      </c>
      <c r="K32" s="7">
        <f t="shared" si="0"/>
        <v>1</v>
      </c>
      <c r="L32" s="7">
        <f t="shared" si="0"/>
        <v>-2</v>
      </c>
    </row>
  </sheetData>
  <pageMargins left="0.7" right="0.7" top="0.75" bottom="0.75" header="0.3" footer="0.3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sheetPr codeName="Ark78"/>
  <dimension ref="A1:AH30"/>
  <sheetViews>
    <sheetView zoomScale="130" zoomScaleNormal="130" workbookViewId="0">
      <selection activeCell="R8" sqref="R8"/>
    </sheetView>
  </sheetViews>
  <sheetFormatPr defaultRowHeight="14.5" x14ac:dyDescent="0.35"/>
  <cols>
    <col min="3" max="3" width="16.453125" customWidth="1"/>
    <col min="4" max="4" width="12.81640625" customWidth="1"/>
    <col min="5" max="5" width="12.54296875" customWidth="1"/>
    <col min="6" max="6" width="16.54296875" customWidth="1"/>
    <col min="10" max="10" width="12.54296875" customWidth="1"/>
    <col min="11" max="11" width="11.54296875" customWidth="1"/>
    <col min="14" max="14" width="10.81640625" customWidth="1"/>
    <col min="15" max="15" width="51.54296875" customWidth="1"/>
    <col min="16" max="18" width="15.81640625" customWidth="1"/>
    <col min="19" max="19" width="12.81640625" customWidth="1"/>
    <col min="24" max="24" width="14.1796875" bestFit="1" customWidth="1"/>
    <col min="33" max="34" width="11.26953125" customWidth="1"/>
  </cols>
  <sheetData>
    <row r="1" spans="1:34" ht="140" x14ac:dyDescent="0.35">
      <c r="B1" s="44" t="s">
        <v>0</v>
      </c>
      <c r="C1" s="3" t="s">
        <v>1</v>
      </c>
      <c r="D1" s="8" t="s">
        <v>2</v>
      </c>
      <c r="E1" s="2" t="s">
        <v>3</v>
      </c>
      <c r="F1" s="3" t="s">
        <v>4</v>
      </c>
      <c r="G1" s="1" t="s">
        <v>5</v>
      </c>
      <c r="H1" s="1" t="s">
        <v>6</v>
      </c>
      <c r="I1" s="1" t="s">
        <v>7</v>
      </c>
      <c r="J1" s="3" t="s">
        <v>8</v>
      </c>
      <c r="K1" s="2" t="s">
        <v>9</v>
      </c>
      <c r="L1" s="2" t="s">
        <v>10</v>
      </c>
      <c r="M1" s="17" t="s">
        <v>11</v>
      </c>
      <c r="N1" s="5" t="s">
        <v>12</v>
      </c>
      <c r="O1" s="4" t="s">
        <v>268</v>
      </c>
      <c r="P1" s="60"/>
      <c r="Q1" s="60"/>
      <c r="R1" s="12" t="s">
        <v>14</v>
      </c>
      <c r="S1" s="11" t="s">
        <v>15</v>
      </c>
      <c r="T1" s="12" t="s">
        <v>16</v>
      </c>
      <c r="U1" s="44" t="s">
        <v>17</v>
      </c>
      <c r="V1" s="3" t="s">
        <v>1</v>
      </c>
      <c r="W1" s="8" t="s">
        <v>2</v>
      </c>
      <c r="X1" s="9" t="s">
        <v>3</v>
      </c>
      <c r="Y1" s="3" t="s">
        <v>4</v>
      </c>
      <c r="Z1" s="1" t="s">
        <v>5</v>
      </c>
      <c r="AA1" s="1" t="s">
        <v>6</v>
      </c>
      <c r="AB1" s="1" t="s">
        <v>7</v>
      </c>
      <c r="AC1" s="3" t="s">
        <v>8</v>
      </c>
      <c r="AD1" s="2" t="s">
        <v>9</v>
      </c>
      <c r="AE1" s="2" t="s">
        <v>10</v>
      </c>
      <c r="AF1" s="17" t="s">
        <v>11</v>
      </c>
      <c r="AG1" s="13" t="s">
        <v>18</v>
      </c>
      <c r="AH1" s="13" t="s">
        <v>19</v>
      </c>
    </row>
    <row r="2" spans="1:34" ht="24.75" customHeight="1" x14ac:dyDescent="0.35">
      <c r="A2" s="45" t="s">
        <v>20</v>
      </c>
      <c r="B2" s="46" t="s">
        <v>21</v>
      </c>
      <c r="C2" s="46" t="s">
        <v>22</v>
      </c>
      <c r="D2" s="46" t="s">
        <v>23</v>
      </c>
      <c r="E2" s="47" t="s">
        <v>24</v>
      </c>
      <c r="F2" s="46" t="s">
        <v>25</v>
      </c>
      <c r="G2" s="46" t="s">
        <v>26</v>
      </c>
      <c r="H2" s="46" t="s">
        <v>27</v>
      </c>
      <c r="I2" s="46" t="s">
        <v>28</v>
      </c>
      <c r="J2" s="48" t="s">
        <v>29</v>
      </c>
      <c r="K2" s="47" t="s">
        <v>30</v>
      </c>
      <c r="L2" s="49" t="s">
        <v>31</v>
      </c>
      <c r="M2" s="49" t="s">
        <v>32</v>
      </c>
      <c r="N2" s="50" t="s">
        <v>33</v>
      </c>
      <c r="O2" s="51"/>
      <c r="P2" s="52" t="s">
        <v>20</v>
      </c>
      <c r="Q2" s="53" t="s">
        <v>34</v>
      </c>
      <c r="R2" s="50" t="s">
        <v>35</v>
      </c>
      <c r="S2" s="54" t="s">
        <v>36</v>
      </c>
      <c r="T2" s="50" t="s">
        <v>37</v>
      </c>
      <c r="U2" s="46" t="s">
        <v>38</v>
      </c>
      <c r="V2" s="46" t="s">
        <v>39</v>
      </c>
      <c r="W2" s="46" t="s">
        <v>40</v>
      </c>
      <c r="X2" s="47" t="s">
        <v>41</v>
      </c>
      <c r="Y2" s="46" t="s">
        <v>42</v>
      </c>
      <c r="Z2" s="46" t="s">
        <v>43</v>
      </c>
      <c r="AA2" s="46" t="s">
        <v>44</v>
      </c>
      <c r="AB2" s="46" t="s">
        <v>45</v>
      </c>
      <c r="AC2" s="46" t="s">
        <v>46</v>
      </c>
      <c r="AD2" s="47" t="s">
        <v>47</v>
      </c>
      <c r="AE2" s="47" t="s">
        <v>48</v>
      </c>
      <c r="AF2" s="49" t="s">
        <v>49</v>
      </c>
      <c r="AG2" s="46" t="s">
        <v>50</v>
      </c>
      <c r="AH2" s="46" t="s">
        <v>51</v>
      </c>
    </row>
    <row r="3" spans="1:34" ht="24.75" customHeight="1" x14ac:dyDescent="0.35">
      <c r="A3" s="45" t="s">
        <v>34</v>
      </c>
      <c r="B3" s="55"/>
      <c r="C3" s="56" t="s">
        <v>52</v>
      </c>
      <c r="D3" s="56" t="s">
        <v>52</v>
      </c>
      <c r="E3" s="56" t="s">
        <v>21</v>
      </c>
      <c r="F3" s="56" t="s">
        <v>21</v>
      </c>
      <c r="G3" s="56" t="s">
        <v>21</v>
      </c>
      <c r="H3" s="56" t="s">
        <v>52</v>
      </c>
      <c r="I3" s="56" t="s">
        <v>52</v>
      </c>
      <c r="J3" s="56" t="s">
        <v>21</v>
      </c>
      <c r="K3" s="56" t="s">
        <v>21</v>
      </c>
      <c r="L3" s="57" t="s">
        <v>21</v>
      </c>
      <c r="M3" s="57" t="s">
        <v>21</v>
      </c>
      <c r="N3" s="50"/>
      <c r="O3" s="51" t="s">
        <v>53</v>
      </c>
      <c r="P3" s="52"/>
      <c r="Q3" s="53"/>
      <c r="R3" s="74"/>
      <c r="S3" s="58"/>
      <c r="T3" s="59"/>
      <c r="U3" s="55"/>
      <c r="V3" s="56" t="s">
        <v>38</v>
      </c>
      <c r="W3" s="56" t="s">
        <v>38</v>
      </c>
      <c r="X3" s="56" t="s">
        <v>38</v>
      </c>
      <c r="Y3" s="56" t="s">
        <v>38</v>
      </c>
      <c r="Z3" s="56" t="s">
        <v>38</v>
      </c>
      <c r="AA3" s="56" t="s">
        <v>38</v>
      </c>
      <c r="AB3" s="56" t="s">
        <v>54</v>
      </c>
      <c r="AC3" s="56" t="s">
        <v>38</v>
      </c>
      <c r="AD3" s="56" t="s">
        <v>38</v>
      </c>
      <c r="AE3" s="56" t="s">
        <v>38</v>
      </c>
      <c r="AF3" s="57" t="s">
        <v>38</v>
      </c>
      <c r="AG3" s="56"/>
      <c r="AH3" s="56"/>
    </row>
    <row r="4" spans="1:34" ht="24.75" customHeight="1" x14ac:dyDescent="0.35">
      <c r="A4" s="72" t="s">
        <v>55</v>
      </c>
      <c r="B4" s="72"/>
      <c r="C4" s="56"/>
      <c r="D4" s="56"/>
      <c r="E4" s="56"/>
      <c r="F4" s="56"/>
      <c r="G4" s="56"/>
      <c r="H4" s="56"/>
      <c r="I4" s="56"/>
      <c r="J4" s="56"/>
      <c r="K4" s="56"/>
      <c r="L4" s="57"/>
      <c r="M4" s="57"/>
      <c r="N4" s="50"/>
      <c r="O4" s="51"/>
      <c r="P4" s="73"/>
      <c r="Q4" s="53"/>
      <c r="R4" s="74"/>
      <c r="S4" s="58"/>
      <c r="T4" s="59"/>
      <c r="U4" s="55">
        <f>B4</f>
        <v>0</v>
      </c>
      <c r="V4" s="56"/>
      <c r="W4" s="56"/>
      <c r="X4" s="56"/>
      <c r="Y4" s="56"/>
      <c r="Z4" s="56"/>
      <c r="AA4" s="56"/>
      <c r="AB4" s="56"/>
      <c r="AC4" s="56"/>
      <c r="AD4" s="56"/>
      <c r="AE4" s="56"/>
      <c r="AF4" s="57"/>
      <c r="AG4" s="56">
        <f>U4</f>
        <v>0</v>
      </c>
      <c r="AH4" s="56">
        <f>U4</f>
        <v>0</v>
      </c>
    </row>
    <row r="5" spans="1:34" x14ac:dyDescent="0.35">
      <c r="C5" s="14"/>
      <c r="D5" s="14"/>
      <c r="E5" s="14"/>
      <c r="F5" s="14"/>
      <c r="G5" s="14"/>
      <c r="H5" s="14"/>
      <c r="I5" s="14"/>
      <c r="J5" s="14"/>
      <c r="K5" s="14"/>
      <c r="L5" s="14"/>
      <c r="M5" s="14"/>
      <c r="N5" s="23">
        <f>SUM(C5:M5)</f>
        <v>0</v>
      </c>
      <c r="O5" s="10" t="s">
        <v>56</v>
      </c>
      <c r="P5" s="62" t="s">
        <v>57</v>
      </c>
      <c r="Q5" s="63"/>
      <c r="R5" s="63"/>
      <c r="S5" s="24">
        <f>SUM(V5:AF5)</f>
        <v>103826.06425508091</v>
      </c>
      <c r="T5" s="37"/>
      <c r="U5" s="61"/>
      <c r="V5" s="14">
        <f>-(C6+C5)</f>
        <v>14458.494318181472</v>
      </c>
      <c r="W5" s="14">
        <f>-(D6+D5)</f>
        <v>37479.879630177988</v>
      </c>
      <c r="X5" s="14"/>
      <c r="Y5" s="14">
        <f>-(F6+F5)</f>
        <v>35621.488149658384</v>
      </c>
      <c r="Z5" s="14">
        <f>-(G6+G5)</f>
        <v>10446.458687137718</v>
      </c>
      <c r="AA5" s="14"/>
      <c r="AB5" s="14"/>
      <c r="AC5" s="14">
        <f>-(J6+J5)</f>
        <v>5819.7434699253427</v>
      </c>
      <c r="AD5" s="14"/>
      <c r="AE5" s="14"/>
      <c r="AF5" s="14"/>
      <c r="AG5" s="14"/>
      <c r="AH5" s="14"/>
    </row>
    <row r="6" spans="1:34" x14ac:dyDescent="0.35">
      <c r="C6" s="14">
        <f>-V6</f>
        <v>-14458.494318181472</v>
      </c>
      <c r="D6" s="14">
        <f>-W6</f>
        <v>-37479.879630177988</v>
      </c>
      <c r="E6" s="14"/>
      <c r="F6" s="14">
        <f>-Y6</f>
        <v>-35621.488149658384</v>
      </c>
      <c r="G6" s="14">
        <f>-Z6</f>
        <v>-10446.458687137718</v>
      </c>
      <c r="H6" s="14"/>
      <c r="I6" s="14"/>
      <c r="J6" s="14">
        <f>-AC6</f>
        <v>-5819.7434699253427</v>
      </c>
      <c r="K6" s="14"/>
      <c r="L6" s="18"/>
      <c r="M6" s="18"/>
      <c r="N6" s="23">
        <f t="shared" ref="N6:N15" si="0">SUM(C6:M6)</f>
        <v>-103826.06425508091</v>
      </c>
      <c r="O6" s="22" t="s">
        <v>58</v>
      </c>
      <c r="P6" s="65" t="s">
        <v>59</v>
      </c>
      <c r="Q6" s="66"/>
      <c r="R6" s="66"/>
      <c r="S6" s="24">
        <f t="shared" ref="S6:S25" si="1">SUM(V6:AF6)</f>
        <v>103826.06425508091</v>
      </c>
      <c r="T6" s="37"/>
      <c r="U6" s="61"/>
      <c r="V6" s="14">
        <f>-(C16+C8)</f>
        <v>14458.494318181472</v>
      </c>
      <c r="W6" s="14">
        <f>-(D16+D8)</f>
        <v>37479.879630177988</v>
      </c>
      <c r="X6" s="14"/>
      <c r="Y6" s="14">
        <f>-(F16+F8)</f>
        <v>35621.488149658384</v>
      </c>
      <c r="Z6" s="14">
        <f>-(G16+G8)</f>
        <v>10446.458687137718</v>
      </c>
      <c r="AA6" s="14"/>
      <c r="AB6" s="14"/>
      <c r="AC6" s="14">
        <f>-(J16+J8)</f>
        <v>5819.7434699253427</v>
      </c>
      <c r="AD6" s="14"/>
      <c r="AE6" s="14"/>
      <c r="AF6" s="14"/>
      <c r="AG6" s="21">
        <f>-(N6+S6)</f>
        <v>0</v>
      </c>
      <c r="AH6" s="21"/>
    </row>
    <row r="7" spans="1:34" x14ac:dyDescent="0.35"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23">
        <f t="shared" si="0"/>
        <v>0</v>
      </c>
      <c r="O7" s="22" t="s">
        <v>60</v>
      </c>
      <c r="P7" s="67" t="s">
        <v>61</v>
      </c>
      <c r="Q7" s="66"/>
      <c r="R7" s="66"/>
      <c r="S7" s="24">
        <f t="shared" si="1"/>
        <v>4696.155635408868</v>
      </c>
      <c r="T7" s="37"/>
      <c r="U7" s="61"/>
      <c r="V7" s="14"/>
      <c r="W7" s="14"/>
      <c r="X7" s="14"/>
      <c r="Y7" s="14"/>
      <c r="Z7" s="16"/>
      <c r="AA7" s="19">
        <f>-H8</f>
        <v>2659.5943409879787</v>
      </c>
      <c r="AB7" s="19">
        <f>-I8</f>
        <v>2036.5612944208892</v>
      </c>
      <c r="AC7" s="14"/>
      <c r="AD7" s="14"/>
      <c r="AE7" s="14"/>
      <c r="AF7" s="14"/>
      <c r="AG7" s="14"/>
      <c r="AH7" s="14"/>
    </row>
    <row r="8" spans="1:34" x14ac:dyDescent="0.35">
      <c r="C8" s="14">
        <f>SUM(C9:C13)</f>
        <v>-13502.389145879597</v>
      </c>
      <c r="D8" s="14">
        <f t="shared" ref="D8:M8" si="2">SUM(D9:D13)</f>
        <v>-37479.879630177988</v>
      </c>
      <c r="E8" s="14">
        <f t="shared" si="2"/>
        <v>-3000.5027471886824</v>
      </c>
      <c r="F8" s="14">
        <f t="shared" si="2"/>
        <v>-17969.172824480702</v>
      </c>
      <c r="G8" s="14">
        <f t="shared" si="2"/>
        <v>-10446.458687137718</v>
      </c>
      <c r="H8" s="14">
        <f t="shared" si="2"/>
        <v>-2659.5943409879787</v>
      </c>
      <c r="I8" s="14">
        <f t="shared" si="2"/>
        <v>-2036.5612944208892</v>
      </c>
      <c r="J8" s="14">
        <f t="shared" si="2"/>
        <v>-1275.245193794492</v>
      </c>
      <c r="K8" s="14">
        <f t="shared" si="2"/>
        <v>-1598.2123680000004</v>
      </c>
      <c r="L8" s="14">
        <f t="shared" si="2"/>
        <v>-159.86729599999998</v>
      </c>
      <c r="M8" s="14">
        <f t="shared" si="2"/>
        <v>0</v>
      </c>
      <c r="N8" s="23">
        <f t="shared" si="0"/>
        <v>-90127.883528068036</v>
      </c>
      <c r="O8" s="22" t="s">
        <v>62</v>
      </c>
      <c r="P8" s="67" t="s">
        <v>63</v>
      </c>
      <c r="Q8" s="66"/>
      <c r="R8" s="66"/>
      <c r="S8" s="24">
        <f t="shared" si="1"/>
        <v>56920.868017244764</v>
      </c>
      <c r="T8" s="37"/>
      <c r="U8" s="61"/>
      <c r="V8" s="14">
        <f>SUM(V9:V13)</f>
        <v>0</v>
      </c>
      <c r="W8" s="14"/>
      <c r="X8" s="14">
        <f>(E14+E8)*-1</f>
        <v>36536.998374578514</v>
      </c>
      <c r="Y8" s="14"/>
      <c r="Z8" s="14"/>
      <c r="AA8" s="14"/>
      <c r="AB8" s="14"/>
      <c r="AC8" s="14"/>
      <c r="AD8" s="14">
        <f>(K14+K8)*-1</f>
        <v>19878.516719674746</v>
      </c>
      <c r="AE8" s="14">
        <f>(L14+L8)*-1</f>
        <v>505.35292299149944</v>
      </c>
      <c r="AF8" s="14"/>
      <c r="AG8" s="21">
        <f>-(N8+S8)</f>
        <v>33207.015510823272</v>
      </c>
      <c r="AH8" s="21">
        <f>SUM(AH9:AH13)</f>
        <v>2535.0080286403013</v>
      </c>
    </row>
    <row r="9" spans="1:34" x14ac:dyDescent="0.35">
      <c r="C9" s="26">
        <f>-($AD$9+$H$9+$I$9)/$T$9*' KF OECD Americas'!$H109</f>
        <v>-13164.152999139389</v>
      </c>
      <c r="D9" s="26">
        <f>-($AD$9+$H$9+$I$9)/$T$9*' KF OECD Americas'!$H110</f>
        <v>0</v>
      </c>
      <c r="E9" s="26">
        <f>-($AD$9+$H$9+$I$9)/$T$9*' KF OECD Americas'!$H111</f>
        <v>-732.94057296122958</v>
      </c>
      <c r="F9" s="26">
        <f>-($AD$9+$H$9+$I$9)/$T$9*' KF OECD Americas'!$H112</f>
        <v>-11482.567845309042</v>
      </c>
      <c r="G9" s="26">
        <f>-($AD$9+$H$9+$I$9)/$T$9*' KF OECD Americas'!$H113</f>
        <v>-10446.458687137718</v>
      </c>
      <c r="H9" s="26">
        <f>AD9*' KF OECD Americas'!H94*-1</f>
        <v>-2659.5943409879787</v>
      </c>
      <c r="I9" s="26">
        <f>AD9*' KF OECD Americas'!H95*-1</f>
        <v>-2036.5612944208892</v>
      </c>
      <c r="J9" s="26">
        <f>-($AD$9+$H$9+$I$9)/$T$9*' KF OECD Americas'!$H114</f>
        <v>-752.82460636230689</v>
      </c>
      <c r="K9" s="25"/>
      <c r="L9" s="25"/>
      <c r="M9" s="25"/>
      <c r="N9" s="23">
        <f t="shared" si="0"/>
        <v>-41275.100346318555</v>
      </c>
      <c r="O9" s="6" t="s">
        <v>64</v>
      </c>
      <c r="P9" s="68" t="s">
        <v>65</v>
      </c>
      <c r="Q9" s="69" t="s">
        <v>63</v>
      </c>
      <c r="R9" s="69"/>
      <c r="S9" s="24">
        <f t="shared" si="1"/>
        <v>18613.049342035458</v>
      </c>
      <c r="T9" s="37">
        <f>' KF OECD Americas'!H104</f>
        <v>0.38046186998051557</v>
      </c>
      <c r="U9" s="61"/>
      <c r="V9" s="28"/>
      <c r="W9" s="28"/>
      <c r="X9" s="28"/>
      <c r="Y9" s="28"/>
      <c r="Z9" s="28"/>
      <c r="AA9" s="28"/>
      <c r="AB9" s="28"/>
      <c r="AC9" s="28"/>
      <c r="AD9" s="28">
        <f>AD8-AD10</f>
        <v>18613.049342035458</v>
      </c>
      <c r="AE9" s="28"/>
      <c r="AF9" s="28"/>
      <c r="AG9" s="29">
        <f>-(S9+N9)</f>
        <v>22662.051004283097</v>
      </c>
      <c r="AH9" s="29">
        <f>-(C9*Emissionsfaktorer!$B$2*(1-' KF OECD Americas'!H134)+D9*Emissionsfaktorer!$B$3+E9*Emissionsfaktorer!$B$4*(1-' KF OECD Americas'!H135)+F9*Emissionsfaktorer!$B$5*(1-' KF OECD Americas'!H136)+G9*Emissionsfaktorer!$B$6+H9*Emissionsfaktorer!$B$7+I9*Emissionsfaktorer!$B$8-J9*Emissionsfaktorer!B13*' KF OECD Americas'!H137+K9*Emissionsfaktorer!$B$10+L9*Emissionsfaktorer!$B$11+M9*Emissionsfaktorer!$B$12)</f>
        <v>1960.8043856459108</v>
      </c>
    </row>
    <row r="10" spans="1:34" x14ac:dyDescent="0.35">
      <c r="C10" s="26">
        <f>-($AD$10+$AE$10+$H$10+$I$10)/$T$10*' KF OECD Americas'!$H116</f>
        <v>-266.67621828795245</v>
      </c>
      <c r="D10" s="26">
        <f>-($AD$10+$AE$10+$H$10+$I$10)/$T$10*' KF OECD Americas'!$H117</f>
        <v>0</v>
      </c>
      <c r="E10" s="26">
        <f>-($AD$10+$AE$10+$H$10+$I$10)/$T$10*' KF OECD Americas'!$H118</f>
        <v>-108.97683022745282</v>
      </c>
      <c r="F10" s="26">
        <f>-($AD$10+$AE$10+$H$10+$I$10)/$T$10*' KF OECD Americas'!$H119</f>
        <v>-2024.347811171657</v>
      </c>
      <c r="G10" s="26">
        <f>-($AD$10+$AE$10+$H$10+$I$10)/$T$10*' KF OECD Americas'!$H120</f>
        <v>0</v>
      </c>
      <c r="H10" s="26"/>
      <c r="I10" s="26">
        <f>(AD10+AE10)*' KF OECD Americas'!H98*-1</f>
        <v>0</v>
      </c>
      <c r="J10" s="26">
        <f>-($AD$10+$AE$10+$H$10+$I$10)/$T$10*' KF OECD Americas'!$H121</f>
        <v>-509.39540595581326</v>
      </c>
      <c r="K10" s="25"/>
      <c r="L10" s="25"/>
      <c r="M10" s="25"/>
      <c r="N10" s="23">
        <f t="shared" si="0"/>
        <v>-2909.3962656428753</v>
      </c>
      <c r="O10" s="6" t="s">
        <v>66</v>
      </c>
      <c r="P10" s="68" t="s">
        <v>67</v>
      </c>
      <c r="Q10" s="69" t="s">
        <v>63</v>
      </c>
      <c r="R10" s="69"/>
      <c r="S10" s="24">
        <f t="shared" si="1"/>
        <v>1766.4373980484272</v>
      </c>
      <c r="T10" s="37">
        <f>' KF OECD Americas'!H105</f>
        <v>0.60714912537295973</v>
      </c>
      <c r="U10" s="61"/>
      <c r="V10" s="28"/>
      <c r="W10" s="28"/>
      <c r="X10" s="28"/>
      <c r="Y10" s="28"/>
      <c r="Z10" s="28"/>
      <c r="AA10" s="28"/>
      <c r="AB10" s="28"/>
      <c r="AC10" s="28"/>
      <c r="AD10" s="28">
        <f>AE10*' KF OECD Americas'!H90</f>
        <v>1265.4673776392892</v>
      </c>
      <c r="AE10" s="28">
        <f>AE8*' KF OECD Americas'!H85</f>
        <v>500.97002040913799</v>
      </c>
      <c r="AF10" s="28"/>
      <c r="AG10" s="29">
        <f t="shared" ref="AG10:AG11" si="3">-(S10+N10)</f>
        <v>1142.9588675944481</v>
      </c>
      <c r="AH10" s="29">
        <f>-(C10*Emissionsfaktorer!$B$2*(1-' KF OECD Americas'!H135)+D10*Emissionsfaktorer!$B$3+E10*Emissionsfaktorer!$B$4*(1-' KF OECD Americas'!H136)+F10*Emissionsfaktorer!$B$5*(1-' KF OECD Americas'!H137)+G10*Emissionsfaktorer!$B$6+H10*Emissionsfaktorer!$B$7+I10*Emissionsfaktorer!$B$8-J10*Emissionsfaktorer!B14*' KF OECD Americas'!H142+K10*Emissionsfaktorer!$B$10+L10*Emissionsfaktorer!$B$11+M10*Emissionsfaktorer!$B$12)</f>
        <v>149.00430507142636</v>
      </c>
    </row>
    <row r="11" spans="1:34" x14ac:dyDescent="0.35">
      <c r="C11" s="26">
        <f>-($AE$11+$H$11+$I$11)/$T$11*' KF OECD Americas'!$H123</f>
        <v>-4.2552452255936291E-2</v>
      </c>
      <c r="D11" s="26">
        <f>-($AE$11+$H$11+$I$11)/$T$11*' KF OECD Americas'!$H124</f>
        <v>0</v>
      </c>
      <c r="E11" s="26">
        <f>-($AE$11+$H$11+$I$11)/$T$11*' KF OECD Americas'!$H125</f>
        <v>0</v>
      </c>
      <c r="F11" s="26">
        <f>-($AE$11+$H$11+$I$11)/$T$11*' KF OECD Americas'!$H126</f>
        <v>0</v>
      </c>
      <c r="G11" s="26">
        <f>-($AE$11+$H$11+$I$11)/$T$11*' KF OECD Americas'!$H127</f>
        <v>0</v>
      </c>
      <c r="H11" s="26"/>
      <c r="I11" s="26">
        <f>AE11*' KF OECD Americas'!H101*-1</f>
        <v>0</v>
      </c>
      <c r="J11" s="26">
        <f>-($AE$11+$H$11+$I$11)/$T$11*' KF OECD Americas'!$H128</f>
        <v>-8.0424134763719586</v>
      </c>
      <c r="K11" s="28">
        <f>AE11*' KF OECD Americas'!H88*-1</f>
        <v>0</v>
      </c>
      <c r="L11" s="25"/>
      <c r="M11" s="25"/>
      <c r="N11" s="23">
        <f t="shared" si="0"/>
        <v>-8.084965928627895</v>
      </c>
      <c r="O11" s="6" t="s">
        <v>68</v>
      </c>
      <c r="P11" s="64" t="s">
        <v>69</v>
      </c>
      <c r="Q11" s="69" t="s">
        <v>63</v>
      </c>
      <c r="R11" s="69"/>
      <c r="S11" s="24">
        <f t="shared" si="1"/>
        <v>4.3829025823614378</v>
      </c>
      <c r="T11" s="37">
        <f>' KF OECD Americas'!H106</f>
        <v>0.54210526315789476</v>
      </c>
      <c r="U11" s="61"/>
      <c r="V11" s="28"/>
      <c r="W11" s="28"/>
      <c r="X11" s="28"/>
      <c r="Y11" s="28"/>
      <c r="Z11" s="28"/>
      <c r="AA11" s="28"/>
      <c r="AB11" s="28"/>
      <c r="AC11" s="28"/>
      <c r="AD11" s="28"/>
      <c r="AE11" s="28">
        <f>AE8*' KF OECD Americas'!H86</f>
        <v>4.3829025823614378</v>
      </c>
      <c r="AF11" s="28"/>
      <c r="AG11" s="29">
        <f t="shared" si="3"/>
        <v>3.7020633462664572</v>
      </c>
      <c r="AH11" s="29">
        <f>-(C11*Emissionsfaktorer!$B$2+D11*Emissionsfaktorer!$B$3+E11*Emissionsfaktorer!$B$4+F11*Emissionsfaktorer!$B$5+G11*Emissionsfaktorer!$B$6+H11*Emissionsfaktorer!$B$7+I11*Emissionsfaktorer!$B$8+J11*Emissionsfaktorer!$B$9+K11*Emissionsfaktorer!$B$10+L11*Emissionsfaktorer!$B$11+M11*Emissionsfaktorer!$B$12)</f>
        <v>4.0424829643139473E-3</v>
      </c>
    </row>
    <row r="12" spans="1:34" x14ac:dyDescent="0.35">
      <c r="C12" s="26"/>
      <c r="D12" s="26">
        <f>-X12/T12*' KF OECD Americas'!H130</f>
        <v>-37479.879630177988</v>
      </c>
      <c r="E12" s="25"/>
      <c r="F12" s="26"/>
      <c r="G12" s="26"/>
      <c r="H12" s="26"/>
      <c r="I12" s="26"/>
      <c r="J12" s="27">
        <f>-X12/T12*' KF OECD Americas'!H131</f>
        <v>0</v>
      </c>
      <c r="K12" s="25"/>
      <c r="L12" s="25"/>
      <c r="M12" s="25"/>
      <c r="N12" s="23">
        <f t="shared" si="0"/>
        <v>-37479.879630177988</v>
      </c>
      <c r="O12" s="6" t="s">
        <v>70</v>
      </c>
      <c r="P12" s="64" t="s">
        <v>71</v>
      </c>
      <c r="Q12" s="69" t="s">
        <v>63</v>
      </c>
      <c r="R12" s="69"/>
      <c r="S12" s="24">
        <f t="shared" si="1"/>
        <v>36536.998374578514</v>
      </c>
      <c r="T12" s="37">
        <f>' KF OECD Americas'!H107</f>
        <v>0.97484300203460938</v>
      </c>
      <c r="U12" s="61"/>
      <c r="V12" s="28"/>
      <c r="W12" s="28"/>
      <c r="X12" s="28">
        <f>-(E9+E10+E11+E13+E14)</f>
        <v>36536.998374578514</v>
      </c>
      <c r="Y12" s="28"/>
      <c r="Z12" s="28"/>
      <c r="AA12" s="28"/>
      <c r="AB12" s="28"/>
      <c r="AC12" s="28"/>
      <c r="AD12" s="28"/>
      <c r="AE12" s="28"/>
      <c r="AF12" s="28"/>
      <c r="AG12" s="29">
        <f>-(S12+N12)</f>
        <v>942.88125559947366</v>
      </c>
      <c r="AH12" s="29">
        <f>J12*Emissionsfaktorer!B4</f>
        <v>0</v>
      </c>
    </row>
    <row r="13" spans="1:34" x14ac:dyDescent="0.35">
      <c r="C13" s="28">
        <f>N13*' KF OECD Americas'!H79</f>
        <v>-71.517375999999999</v>
      </c>
      <c r="D13" s="28">
        <f>N13*' KF OECD Americas'!H81</f>
        <v>0</v>
      </c>
      <c r="E13" s="28">
        <f>N13*' KF OECD Americas'!H82</f>
        <v>-2158.5853440000001</v>
      </c>
      <c r="F13" s="28">
        <f>N13*' KF OECD Americas'!H80</f>
        <v>-4462.2571680000001</v>
      </c>
      <c r="G13" s="28"/>
      <c r="H13" s="28"/>
      <c r="I13" s="28"/>
      <c r="J13" s="36">
        <f>N13*' KF OECD Americas'!H83</f>
        <v>-4.9827679999999992</v>
      </c>
      <c r="K13" s="28">
        <f>N13*' KF OECD Americas'!H77</f>
        <v>-1598.2123680000004</v>
      </c>
      <c r="L13" s="28">
        <f>N13*' KF OECD Americas'!H78</f>
        <v>-159.86729599999998</v>
      </c>
      <c r="M13" s="25"/>
      <c r="N13" s="23">
        <f>N16*' KF OECD Americas'!H75</f>
        <v>-8455.4223199999997</v>
      </c>
      <c r="O13" s="6" t="s">
        <v>72</v>
      </c>
      <c r="P13" s="64" t="s">
        <v>73</v>
      </c>
      <c r="Q13" s="69" t="s">
        <v>63</v>
      </c>
      <c r="R13" s="69"/>
      <c r="S13" s="24">
        <f t="shared" si="1"/>
        <v>0</v>
      </c>
      <c r="T13" s="37">
        <v>0</v>
      </c>
      <c r="U13" s="61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9">
        <f>-(S13+N13)</f>
        <v>8455.4223199999997</v>
      </c>
      <c r="AH13" s="29">
        <f>-(C13*Emissionsfaktorer!$B$2+D13*Emissionsfaktorer!$B$3+E13*Emissionsfaktorer!$B$4+F13*Emissionsfaktorer!$B$5+G13*Emissionsfaktorer!$B$6+H13*Emissionsfaktorer!$B$7+I13*Emissionsfaktorer!$B$8+J13*Emissionsfaktorer!$B$9+K13*Emissionsfaktorer!$B$10+L13*Emissionsfaktorer!$B$11+M13*Emissionsfaktorer!$B$12)</f>
        <v>425.19529544</v>
      </c>
    </row>
    <row r="14" spans="1:34" x14ac:dyDescent="0.35">
      <c r="C14" s="15"/>
      <c r="D14" s="15"/>
      <c r="E14" s="16">
        <f>-X14*1</f>
        <v>-33536.495627389835</v>
      </c>
      <c r="F14" s="15"/>
      <c r="G14" s="15"/>
      <c r="H14" s="15"/>
      <c r="I14" s="15"/>
      <c r="J14" s="20"/>
      <c r="K14" s="16">
        <f>-AD14*(1+' KF OECD Americas'!H72)</f>
        <v>-18280.304351674746</v>
      </c>
      <c r="L14" s="16">
        <f>-AE14*(1+' KF OECD Americas'!H73)</f>
        <v>-345.48562699149943</v>
      </c>
      <c r="M14" s="16"/>
      <c r="N14" s="23">
        <f t="shared" si="0"/>
        <v>-52162.285606056081</v>
      </c>
      <c r="O14" s="22" t="s">
        <v>74</v>
      </c>
      <c r="P14" s="66" t="s">
        <v>75</v>
      </c>
      <c r="Q14" s="70"/>
      <c r="R14" s="70"/>
      <c r="S14" s="24">
        <f t="shared" si="1"/>
        <v>51040.535111372592</v>
      </c>
      <c r="T14" s="37"/>
      <c r="U14" s="61"/>
      <c r="V14" s="16"/>
      <c r="W14" s="16"/>
      <c r="X14" s="16">
        <f>-E16</f>
        <v>33536.495627389835</v>
      </c>
      <c r="Y14" s="16"/>
      <c r="Z14" s="16"/>
      <c r="AA14" s="16"/>
      <c r="AB14" s="16"/>
      <c r="AC14" s="16"/>
      <c r="AD14" s="16">
        <f>-K16</f>
        <v>17215.709096458402</v>
      </c>
      <c r="AE14" s="16">
        <f>-L16</f>
        <v>288.33038752435647</v>
      </c>
      <c r="AF14" s="16"/>
      <c r="AG14" s="21">
        <f>-(N14+S14)</f>
        <v>1121.7504946834888</v>
      </c>
      <c r="AH14" s="21"/>
    </row>
    <row r="15" spans="1:34" x14ac:dyDescent="0.35"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23">
        <f t="shared" si="0"/>
        <v>0</v>
      </c>
      <c r="O15" s="22" t="s">
        <v>76</v>
      </c>
      <c r="P15" s="67" t="s">
        <v>77</v>
      </c>
      <c r="Q15" s="66"/>
      <c r="R15" s="66"/>
      <c r="S15" s="24">
        <f t="shared" si="1"/>
        <v>164.30581743007639</v>
      </c>
      <c r="T15" s="37"/>
      <c r="U15" s="61"/>
      <c r="V15" s="14"/>
      <c r="W15" s="14"/>
      <c r="X15" s="14"/>
      <c r="Y15" s="14"/>
      <c r="Z15" s="14"/>
      <c r="AA15" s="14"/>
      <c r="AB15" s="14">
        <f>I16*-1</f>
        <v>164.30581743007639</v>
      </c>
      <c r="AC15" s="14"/>
      <c r="AD15" s="14"/>
      <c r="AE15" s="14"/>
      <c r="AF15" s="14"/>
      <c r="AG15" s="14"/>
      <c r="AH15" s="14"/>
    </row>
    <row r="16" spans="1:34" x14ac:dyDescent="0.35">
      <c r="C16" s="14">
        <f t="shared" ref="C16:M16" si="4">SUM(C17:C19)</f>
        <v>-956.10517230187509</v>
      </c>
      <c r="D16" s="14">
        <f t="shared" si="4"/>
        <v>0</v>
      </c>
      <c r="E16" s="14">
        <f t="shared" si="4"/>
        <v>-33536.495627389835</v>
      </c>
      <c r="F16" s="14">
        <f t="shared" si="4"/>
        <v>-17652.315325177678</v>
      </c>
      <c r="G16" s="14">
        <f t="shared" si="4"/>
        <v>0</v>
      </c>
      <c r="H16" s="14">
        <f t="shared" si="4"/>
        <v>0</v>
      </c>
      <c r="I16" s="14">
        <f t="shared" si="4"/>
        <v>-164.30581743007639</v>
      </c>
      <c r="J16" s="14">
        <f t="shared" si="4"/>
        <v>-4544.4982761308511</v>
      </c>
      <c r="K16" s="14">
        <f t="shared" si="4"/>
        <v>-17215.709096458402</v>
      </c>
      <c r="L16" s="14">
        <f t="shared" si="4"/>
        <v>-288.33038752435647</v>
      </c>
      <c r="M16" s="14">
        <f t="shared" si="4"/>
        <v>0</v>
      </c>
      <c r="N16" s="23">
        <f>' KF OECD Americas'!H5</f>
        <v>-74357.721248000002</v>
      </c>
      <c r="O16" s="10" t="s">
        <v>78</v>
      </c>
      <c r="P16" s="71" t="s">
        <v>79</v>
      </c>
      <c r="Q16" s="71"/>
      <c r="R16" s="71"/>
      <c r="S16" s="24">
        <f t="shared" si="1"/>
        <v>45522.801597044701</v>
      </c>
      <c r="T16" s="37"/>
      <c r="U16" s="61"/>
      <c r="V16" s="14"/>
      <c r="W16" s="14"/>
      <c r="X16" s="14"/>
      <c r="Y16" s="14"/>
      <c r="Z16" s="14"/>
      <c r="AA16" s="14"/>
      <c r="AB16" s="14"/>
      <c r="AC16" s="14"/>
      <c r="AD16" s="14"/>
      <c r="AE16" s="14"/>
      <c r="AF16" s="14">
        <f>SUM(AF17:AF19)</f>
        <v>45522.801597044701</v>
      </c>
      <c r="AG16" s="14">
        <f t="shared" ref="AG16:AH16" si="5">SUM(AG17:AG19)</f>
        <v>28834.958105368376</v>
      </c>
      <c r="AH16" s="14">
        <f t="shared" si="5"/>
        <v>3645.7856325854327</v>
      </c>
    </row>
    <row r="17" spans="3:34" x14ac:dyDescent="0.35">
      <c r="C17" s="25">
        <f>AF17*' KF OECD Americas'!H15/T17*' KF OECD Americas'!H139/' KF OECD Americas'!H$139*-1</f>
        <v>-937.89092799999992</v>
      </c>
      <c r="D17" s="25">
        <f>AF17*' KF OECD Americas'!H16/T17*' KF OECD Americas'!H139/' KF OECD Americas'!H$139*-1</f>
        <v>0</v>
      </c>
      <c r="E17" s="25">
        <f>AF17*' KF OECD Americas'!H17/T17*' KF OECD Americas'!H139/' KF OECD Americas'!H$139*-1</f>
        <v>-1530.3797279999999</v>
      </c>
      <c r="F17" s="25">
        <f>AF17*' KF OECD Americas'!H18/T17*' KF OECD Americas'!H139/' KF OECD Americas'!H$139*-1</f>
        <v>-6859.2616800000005</v>
      </c>
      <c r="G17" s="25"/>
      <c r="H17" s="25"/>
      <c r="I17" s="25">
        <f>AF17*' KF OECD Americas'!H19/T17*' KF OECD Americas'!H142/' KF OECD Americas'!H$142*-1</f>
        <v>-0.66995199999999999</v>
      </c>
      <c r="J17" s="25">
        <f>AF17*' KF OECD Americas'!H20*' KF OECD Americas'!H139/T17/' KF OECD Americas'!H$139*-1</f>
        <v>-1805.3112799999999</v>
      </c>
      <c r="K17" s="25">
        <f>AF17*' KF OECD Americas'!H21*' KF OECD Americas'!H141/T17/' KF OECD Americas'!H$141*-1</f>
        <v>-4142.2294720000018</v>
      </c>
      <c r="L17" s="25">
        <f>AF17*' KF OECD Americas'!H22*' KF OECD Americas'!H142/T17/' KF OECD Americas'!H$142*-1</f>
        <v>-231.55215999999999</v>
      </c>
      <c r="M17" s="25"/>
      <c r="N17" s="23">
        <f>SUM(C17:L17)</f>
        <v>-15507.2952</v>
      </c>
      <c r="O17" s="6" t="s">
        <v>80</v>
      </c>
      <c r="P17" s="64" t="s">
        <v>81</v>
      </c>
      <c r="Q17" s="69" t="s">
        <v>79</v>
      </c>
      <c r="R17" s="69"/>
      <c r="S17" s="24">
        <f t="shared" si="1"/>
        <v>13073.615003200002</v>
      </c>
      <c r="T17" s="37">
        <f>(' KF OECD Americas'!H15+' KF OECD Americas'!H16+' KF OECD Americas'!H17+' KF OECD Americas'!H18+' KF OECD Americas'!H20)*' KF OECD Americas'!H139+(' KF OECD Americas'!H19+' KF OECD Americas'!H22)*' KF OECD Americas'!H142+' KF OECD Americas'!H21*' KF OECD Americas'!H141</f>
        <v>0.84306223842311345</v>
      </c>
      <c r="U17" s="61"/>
      <c r="V17" s="25"/>
      <c r="W17" s="25"/>
      <c r="X17" s="25"/>
      <c r="Y17" s="25"/>
      <c r="Z17" s="25"/>
      <c r="AA17" s="25"/>
      <c r="AB17" s="25"/>
      <c r="AC17" s="25"/>
      <c r="AD17" s="25"/>
      <c r="AE17" s="25"/>
      <c r="AF17" s="25">
        <f>' KF OECD Americas'!H5*' KF OECD Americas'!H7*((' KF OECD Americas'!G15+' KF OECD Americas'!G16+' KF OECD Americas'!G17+' KF OECD Americas'!G18+' KF OECD Americas'!G20)*' KF OECD Americas'!G139+(' KF OECD Americas'!G19+' KF OECD Americas'!G22)*' KF OECD Americas'!G142+' KF OECD Americas'!G21*' KF OECD Americas'!G141)*-1</f>
        <v>13073.615003200002</v>
      </c>
      <c r="AG17" s="25">
        <f>(S17+SUM(C17:M17))*-1</f>
        <v>2433.6801967999982</v>
      </c>
      <c r="AH17" s="29">
        <f>-(C17*Emissionsfaktorer!$B$2+D17*Emissionsfaktorer!$B$3+E17*Emissionsfaktorer!$B$4+F17*Emissionsfaktorer!$B$5+G17*Emissionsfaktorer!$B$6+H17*Emissionsfaktorer!$B$7+I17*Emissionsfaktorer!$B$8+J17*Emissionsfaktorer!$B$9+K17*Emissionsfaktorer!$B$10+L17*Emissionsfaktorer!$B$11+M17*Emissionsfaktorer!$B$12)</f>
        <v>596.38641324800005</v>
      </c>
    </row>
    <row r="18" spans="3:34" x14ac:dyDescent="0.35">
      <c r="C18" s="25">
        <f>AF18*' KF OECD Americas'!H24/T18*' KF OECD Americas'!H140/' KF OECD Americas'!H$140*-1</f>
        <v>0</v>
      </c>
      <c r="D18" s="25"/>
      <c r="E18" s="25">
        <f>AF18*' KF OECD Americas'!H25/T18*' KF OECD Americas'!H140/' KF OECD Americas'!H$140*-1</f>
        <v>-29407.748561080789</v>
      </c>
      <c r="F18" s="25">
        <f>AF18*' KF OECD Americas'!H26/T18*' KF OECD Americas'!H140/' KF OECD Americas'!H$140*-1</f>
        <v>-1054.6314279562448</v>
      </c>
      <c r="G18" s="25"/>
      <c r="H18" s="25"/>
      <c r="I18" s="25">
        <f>AF18*' KF OECD Americas'!H27/T18*' KF OECD Americas'!H142/' KF OECD Americas'!H$142*-1</f>
        <v>0</v>
      </c>
      <c r="J18" s="25">
        <f>AF18*' KF OECD Americas'!H28/T18*' KF OECD Americas'!H140/' KF OECD Americas'!H$140*-1</f>
        <v>-1657.505263653788</v>
      </c>
      <c r="K18" s="25">
        <f>AF18*' KF OECD Americas'!H29/T18*' KF OECD Americas'!H141/' KF OECD Americas'!H$141*-1</f>
        <v>-80.896808623951443</v>
      </c>
      <c r="L18" s="25">
        <f>AF18*' KF OECD Americas'!H30/T18*' KF OECD Americas'!H142/' KF OECD Americas'!H$142*-1</f>
        <v>0</v>
      </c>
      <c r="M18" s="25"/>
      <c r="N18" s="23">
        <f>SUM(C18:L18)</f>
        <v>-32200.782061314774</v>
      </c>
      <c r="O18" s="6" t="s">
        <v>82</v>
      </c>
      <c r="P18" s="64" t="s">
        <v>83</v>
      </c>
      <c r="Q18" s="69" t="s">
        <v>79</v>
      </c>
      <c r="R18" s="69"/>
      <c r="S18" s="24">
        <f t="shared" si="1"/>
        <v>9712.8175439999995</v>
      </c>
      <c r="T18" s="37">
        <f>(' KF OECD Americas'!H24+' KF OECD Americas'!H25+' KF OECD Americas'!H26+' KF OECD Americas'!H28)*' KF OECD Americas'!H140+(' KF OECD Americas'!H27+' KF OECD Americas'!H30)*' KF OECD Americas'!H142+' KF OECD Americas'!H29*' KF OECD Americas'!H141</f>
        <v>0.3016329704510109</v>
      </c>
      <c r="U18" s="61"/>
      <c r="V18" s="25"/>
      <c r="W18" s="25"/>
      <c r="X18" s="25"/>
      <c r="Y18" s="25"/>
      <c r="Z18" s="25"/>
      <c r="AA18" s="25"/>
      <c r="AB18" s="25"/>
      <c r="AC18" s="25"/>
      <c r="AD18" s="25"/>
      <c r="AE18" s="25"/>
      <c r="AF18" s="25">
        <f>' KF OECD Americas'!H5*' KF OECD Americas'!H8*-1*((' KF OECD Americas'!G24+' KF OECD Americas'!G25+' KF OECD Americas'!G26+' KF OECD Americas'!G28)*' KF OECD Americas'!G140+(' KF OECD Americas'!G27+' KF OECD Americas'!G30)*' KF OECD Americas'!G142+' KF OECD Americas'!G29*' KF OECD Americas'!G141)</f>
        <v>9712.8175439999995</v>
      </c>
      <c r="AG18" s="25">
        <f>(S18+SUM(C18:M18))*-1</f>
        <v>22487.964517314773</v>
      </c>
      <c r="AH18" s="29">
        <f>-(C18*Emissionsfaktorer!$B$2+D18*Emissionsfaktorer!$B$3+E18*Emissionsfaktorer!$B$4+F18*Emissionsfaktorer!$B$5+G18*Emissionsfaktorer!$B$6+H18*Emissionsfaktorer!$B$7+I18*Emissionsfaktorer!$B$8+J18*Emissionsfaktorer!$B$9+K18*Emissionsfaktorer!$B$10+L18*Emissionsfaktorer!$B$11+M18*Emissionsfaktorer!$B$12)</f>
        <v>2295.1028820356455</v>
      </c>
    </row>
    <row r="19" spans="3:34" x14ac:dyDescent="0.35">
      <c r="C19" s="25">
        <f>SUM(C20:C24)</f>
        <v>-18.214244301875151</v>
      </c>
      <c r="D19" s="25">
        <f t="shared" ref="D19:M19" si="6">SUM(D20:D24)</f>
        <v>0</v>
      </c>
      <c r="E19" s="25">
        <f t="shared" si="6"/>
        <v>-2598.3673383090463</v>
      </c>
      <c r="F19" s="25">
        <f t="shared" si="6"/>
        <v>-9738.4222172214322</v>
      </c>
      <c r="G19" s="25">
        <f t="shared" si="6"/>
        <v>0</v>
      </c>
      <c r="H19" s="25">
        <f t="shared" si="6"/>
        <v>0</v>
      </c>
      <c r="I19" s="25">
        <f t="shared" si="6"/>
        <v>-163.63586543007639</v>
      </c>
      <c r="J19" s="25">
        <f t="shared" si="6"/>
        <v>-1081.6817324770636</v>
      </c>
      <c r="K19" s="25">
        <f t="shared" si="6"/>
        <v>-12992.58281583445</v>
      </c>
      <c r="L19" s="25">
        <f t="shared" si="6"/>
        <v>-56.778227524356474</v>
      </c>
      <c r="M19" s="25">
        <f t="shared" si="6"/>
        <v>0</v>
      </c>
      <c r="N19" s="23">
        <f>SUM(N20:N24)</f>
        <v>-26649.682441098299</v>
      </c>
      <c r="O19" s="6" t="s">
        <v>84</v>
      </c>
      <c r="P19" s="64" t="s">
        <v>85</v>
      </c>
      <c r="Q19" s="69" t="s">
        <v>79</v>
      </c>
      <c r="R19" s="69"/>
      <c r="S19" s="24">
        <f t="shared" si="1"/>
        <v>22736.369049844696</v>
      </c>
      <c r="T19" s="37">
        <v>0.8</v>
      </c>
      <c r="U19" s="61"/>
      <c r="V19" s="25">
        <f>SUM(V20:V24)</f>
        <v>0</v>
      </c>
      <c r="W19" s="25">
        <f t="shared" ref="W19:AH19" si="7">SUM(W20:W24)</f>
        <v>0</v>
      </c>
      <c r="X19" s="25">
        <f t="shared" si="7"/>
        <v>0</v>
      </c>
      <c r="Y19" s="25">
        <f t="shared" si="7"/>
        <v>0</v>
      </c>
      <c r="Z19" s="25">
        <f t="shared" si="7"/>
        <v>0</v>
      </c>
      <c r="AA19" s="25">
        <f t="shared" si="7"/>
        <v>0</v>
      </c>
      <c r="AB19" s="25">
        <f t="shared" si="7"/>
        <v>0</v>
      </c>
      <c r="AC19" s="25">
        <f t="shared" si="7"/>
        <v>0</v>
      </c>
      <c r="AD19" s="25">
        <f t="shared" si="7"/>
        <v>0</v>
      </c>
      <c r="AE19" s="25">
        <f t="shared" si="7"/>
        <v>0</v>
      </c>
      <c r="AF19" s="25">
        <f t="shared" si="7"/>
        <v>22736.369049844696</v>
      </c>
      <c r="AG19" s="25">
        <f t="shared" si="7"/>
        <v>3913.3133912536046</v>
      </c>
      <c r="AH19" s="25">
        <f t="shared" si="7"/>
        <v>754.29633730178728</v>
      </c>
    </row>
    <row r="20" spans="3:34" x14ac:dyDescent="0.35">
      <c r="C20" s="92">
        <f>AF20*' KF OECD Americas'!H$32/T20*' KF OECD Americas'!H$139/' KF OECD Americas'!H$139*-1</f>
        <v>-0.33497701652348344</v>
      </c>
      <c r="D20" s="92"/>
      <c r="E20" s="92">
        <f>AF20*' KF OECD Americas'!H33/T20*' KF OECD Americas'!H$140/' KF OECD Americas'!H$140*-1</f>
        <v>-994.92361120181124</v>
      </c>
      <c r="F20" s="92">
        <f>AF20*' KF OECD Americas'!H$34/T20*' KF OECD Americas'!H$140/' KF OECD Americas'!H$140*-1</f>
        <v>-5642.1016335591621</v>
      </c>
      <c r="G20" s="92"/>
      <c r="H20" s="92"/>
      <c r="I20" s="92">
        <f>AF20*' KF OECD Americas'!H$35/T20*' KF OECD Americas'!H$142/' KF OECD Americas'!H$142*-1</f>
        <v>-80.520100346832322</v>
      </c>
      <c r="J20" s="92">
        <f>AF20*' KF OECD Americas'!H$36/T20*' KF OECD Americas'!H$140/' KF OECD Americas'!H$140*-1</f>
        <v>-919.84688737348552</v>
      </c>
      <c r="K20" s="92">
        <f>AF20*' KF OECD Americas'!H$37/T20*' KF OECD Americas'!H$141/' KF OECD Americas'!H$141*-1</f>
        <v>-6160.4366945021884</v>
      </c>
      <c r="L20" s="92">
        <f>AF20*' KF OECD Americas'!H$38/T20*' KF OECD Americas'!H$142/' KF OECD Americas'!H$142*-1</f>
        <v>0</v>
      </c>
      <c r="M20" s="92"/>
      <c r="N20" s="23">
        <f>SUM(C20:L20)</f>
        <v>-13798.163904000003</v>
      </c>
      <c r="O20" s="84" t="s">
        <v>86</v>
      </c>
      <c r="P20" s="85" t="s">
        <v>87</v>
      </c>
      <c r="Q20" s="86" t="s">
        <v>85</v>
      </c>
      <c r="R20" s="86"/>
      <c r="S20" s="24">
        <f t="shared" si="1"/>
        <v>11978.700647444697</v>
      </c>
      <c r="T20" s="37">
        <f>(' KF OECD Americas'!H32+' KF OECD Americas'!H33+' KF OECD Americas'!H34+' KF OECD Americas'!H36)*' KF OECD Americas'!H139+(' KF OECD Americas'!H35+' KF OECD Americas'!H38)*' KF OECD Americas'!H142+' KF OECD Americas'!H37*' KF OECD Americas'!H141</f>
        <v>0.86813729209088075</v>
      </c>
      <c r="U20" s="61"/>
      <c r="V20" s="92"/>
      <c r="W20" s="92"/>
      <c r="X20" s="92"/>
      <c r="Y20" s="92"/>
      <c r="Z20" s="92"/>
      <c r="AA20" s="92"/>
      <c r="AB20" s="92"/>
      <c r="AC20" s="92"/>
      <c r="AD20" s="92"/>
      <c r="AE20" s="92"/>
      <c r="AF20" s="92">
        <f>' KF OECD Americas'!H5*' KF OECD Americas'!H9*((' KF OECD Americas'!G32+' KF OECD Americas'!G33+' KF OECD Americas'!G34+' KF OECD Americas'!G36)*' KF OECD Americas'!G139+(' KF OECD Americas'!G35+' KF OECD Americas'!G38)*' KF OECD Americas'!G142+' KF OECD Americas'!G37*' KF OECD Americas'!G141)*-1</f>
        <v>11978.700647444697</v>
      </c>
      <c r="AG20" s="92">
        <f>(N20+AF20)*-1</f>
        <v>1819.4632565553056</v>
      </c>
      <c r="AH20" s="87">
        <f>-(C20*Emissionsfaktorer!$B$2+D20*Emissionsfaktorer!$B$3+E20*Emissionsfaktorer!$B$4+F20*Emissionsfaktorer!$B$5+G20*Emissionsfaktorer!$B$6+H20*Emissionsfaktorer!$B$7+I20*Emissionsfaktorer!$B$8+J20*Emissionsfaktorer!$B$9+K20*Emissionsfaktorer!$B$10+L20*Emissionsfaktorer!$B$11+M20*Emissionsfaktorer!$B$12)</f>
        <v>397.24581038077963</v>
      </c>
    </row>
    <row r="21" spans="3:34" x14ac:dyDescent="0.35">
      <c r="C21" s="92">
        <f>AF21*' KF OECD Americas'!H$40/T21*' KF OECD Americas'!H$139/' KF OECD Americas'!H$139*-1</f>
        <v>-17.837395285351665</v>
      </c>
      <c r="D21" s="92"/>
      <c r="E21" s="92">
        <f>AF21*' KF OECD Americas'!H41/T21*' KF OECD Americas'!H$140/' KF OECD Americas'!H$140*-1</f>
        <v>-614.05023910723503</v>
      </c>
      <c r="F21" s="92">
        <f>AF21*' KF OECD Americas'!H$42/T21*' KF OECD Americas'!H$140/' KF OECD Americas'!H$140*-1</f>
        <v>-3993.7760556622698</v>
      </c>
      <c r="G21" s="92"/>
      <c r="H21" s="92"/>
      <c r="I21" s="92">
        <f>AF21*' KF OECD Americas'!H$43/T21*' KF OECD Americas'!H$142/' KF OECD Americas'!H$142*-1</f>
        <v>-78.844636906847853</v>
      </c>
      <c r="J21" s="92">
        <f>AF21*' KF OECD Americas'!H$44/T21*' KF OECD Americas'!H$140/' KF OECD Americas'!H$140*-1</f>
        <v>-101.12044510357809</v>
      </c>
      <c r="K21" s="92">
        <f>AF21*' KF OECD Americas'!H$45/T21*' KF OECD Americas'!H$141/' KF OECD Americas'!H$141*-1</f>
        <v>-5613.5874092158583</v>
      </c>
      <c r="L21" s="92">
        <f>AF21*' KF OECD Americas'!H$46/T21*' KF OECD Americas'!H$142/' KF OECD Americas'!H$142*-1</f>
        <v>-55.940751411337608</v>
      </c>
      <c r="M21" s="92"/>
      <c r="N21" s="23">
        <f t="shared" ref="N21:N24" si="8">SUM(C21:L21)</f>
        <v>-10475.156932692478</v>
      </c>
      <c r="O21" s="84" t="s">
        <v>88</v>
      </c>
      <c r="P21" s="85" t="s">
        <v>89</v>
      </c>
      <c r="Q21" s="86" t="s">
        <v>85</v>
      </c>
      <c r="R21" s="86"/>
      <c r="S21" s="24">
        <f t="shared" si="1"/>
        <v>9249.1207352000001</v>
      </c>
      <c r="T21" s="37">
        <f>(' KF OECD Americas'!H40+' KF OECD Americas'!H41+' KF OECD Americas'!H42+' KF OECD Americas'!H44)*' KF OECD Americas'!H139+(' KF OECD Americas'!H43+' KF OECD Americas'!H46)*' KF OECD Americas'!H142+' KF OECD Americas'!H45*' KF OECD Americas'!H141</f>
        <v>0.88295772508514148</v>
      </c>
      <c r="U21" s="61"/>
      <c r="V21" s="92"/>
      <c r="W21" s="92"/>
      <c r="X21" s="92"/>
      <c r="Y21" s="92"/>
      <c r="Z21" s="92"/>
      <c r="AA21" s="92"/>
      <c r="AB21" s="92"/>
      <c r="AC21" s="92"/>
      <c r="AD21" s="92"/>
      <c r="AE21" s="92"/>
      <c r="AF21" s="92">
        <f>' KF OECD Americas'!H5*' KF OECD Americas'!H10*((' KF OECD Americas'!G40+' KF OECD Americas'!G41+' KF OECD Americas'!G42+' KF OECD Americas'!G44)*' KF OECD Americas'!G139+(' KF OECD Americas'!G43+' KF OECD Americas'!G46)*' KF OECD Americas'!G142+' KF OECD Americas'!G45*' KF OECD Americas'!G141)*-1</f>
        <v>9249.1207352000001</v>
      </c>
      <c r="AG21" s="92">
        <f t="shared" ref="AG21:AG24" si="9">(N21+AF21)*-1</f>
        <v>1226.0361974924781</v>
      </c>
      <c r="AH21" s="87">
        <f>-(C21*Emissionsfaktorer!$B$2+D21*Emissionsfaktorer!$B$3+E21*Emissionsfaktorer!$B$4+F21*Emissionsfaktorer!$B$5+G21*Emissionsfaktorer!$B$6+H21*Emissionsfaktorer!$B$7+I21*Emissionsfaktorer!$B$8+J21*Emissionsfaktorer!$B$9+K21*Emissionsfaktorer!$B$10+L21*Emissionsfaktorer!$B$11+M21*Emissionsfaktorer!$B$12)</f>
        <v>276.00760589700764</v>
      </c>
    </row>
    <row r="22" spans="3:34" x14ac:dyDescent="0.35">
      <c r="C22" s="92">
        <f>AF22*' KF OECD Americas'!H$48/T22*' KF OECD Americas'!H$139/' KF OECD Americas'!H$139*-1</f>
        <v>0</v>
      </c>
      <c r="D22" s="92"/>
      <c r="E22" s="92">
        <f>AF22*' KF OECD Americas'!H49/T22*' KF OECD Americas'!H$140/' KF OECD Americas'!H$140*-1</f>
        <v>-979.46982400000013</v>
      </c>
      <c r="F22" s="92">
        <f>AF22*' KF OECD Americas'!H$50/T22*' KF OECD Americas'!H$140/' KF OECD Americas'!H$140*-1</f>
        <v>-102.460784</v>
      </c>
      <c r="G22" s="92"/>
      <c r="H22" s="92"/>
      <c r="I22" s="92">
        <f>AF22*' KF OECD Americas'!H$51/T22*' KF OECD Americas'!H$142/' KF OECD Americas'!H$142*-1</f>
        <v>0</v>
      </c>
      <c r="J22" s="92">
        <f>AF22*' KF OECD Americas'!H$52/T22*' KF OECD Americas'!H$140/' KF OECD Americas'!H$140*-1</f>
        <v>-60.714400000000005</v>
      </c>
      <c r="K22" s="92">
        <f>AF22*' KF OECD Americas'!H$53/T22*' KF OECD Americas'!H$141/' KF OECD Americas'!H$141*-1</f>
        <v>-252.44628799999998</v>
      </c>
      <c r="L22" s="92">
        <f>AF22*' KF OECD Americas'!H$54/T22*' KF OECD Americas'!H$142/' KF OECD Americas'!H$142*-1</f>
        <v>0</v>
      </c>
      <c r="M22" s="92"/>
      <c r="N22" s="23">
        <f t="shared" si="8"/>
        <v>-1395.0912960000001</v>
      </c>
      <c r="O22" s="84" t="s">
        <v>90</v>
      </c>
      <c r="P22" s="85" t="s">
        <v>91</v>
      </c>
      <c r="Q22" s="86" t="s">
        <v>85</v>
      </c>
      <c r="R22" s="86"/>
      <c r="S22" s="24">
        <f t="shared" si="1"/>
        <v>582.61747600000001</v>
      </c>
      <c r="T22" s="37">
        <f>(' KF OECD Americas'!H48+' KF OECD Americas'!H49+' KF OECD Americas'!H50+' KF OECD Americas'!H52)*' KF OECD Americas'!H140+(' KF OECD Americas'!H51+' KF OECD Americas'!H54)*' KF OECD Americas'!H142+' KF OECD Americas'!H53*' KF OECD Americas'!H141</f>
        <v>0.41761960501830842</v>
      </c>
      <c r="U22" s="61"/>
      <c r="V22" s="92"/>
      <c r="W22" s="92"/>
      <c r="X22" s="92"/>
      <c r="Y22" s="92"/>
      <c r="Z22" s="92"/>
      <c r="AA22" s="92"/>
      <c r="AB22" s="92"/>
      <c r="AC22" s="92"/>
      <c r="AD22" s="92"/>
      <c r="AE22" s="92"/>
      <c r="AF22" s="92">
        <f>((' KF OECD Americas'!G48+' KF OECD Americas'!G49+' KF OECD Americas'!G50+' KF OECD Americas'!G52)*' KF OECD Americas'!G140+(' KF OECD Americas'!G51+' KF OECD Americas'!G54)*' KF OECD Americas'!G142+' KF OECD Americas'!G53*' KF OECD Americas'!G141)*' KF OECD Americas'!H11*' KF OECD Americas'!H5*-1</f>
        <v>582.61747600000001</v>
      </c>
      <c r="AG22" s="92">
        <f t="shared" si="9"/>
        <v>812.47382000000005</v>
      </c>
      <c r="AH22" s="87">
        <f>-(C22*Emissionsfaktorer!$B$2+D22*Emissionsfaktorer!$B$3+E22*Emissionsfaktorer!$B$4+F22*Emissionsfaktorer!$B$5+G22*Emissionsfaktorer!$B$6+H22*Emissionsfaktorer!$B$7+I22*Emissionsfaktorer!$B$8+J22*Emissionsfaktorer!$B$9+K22*Emissionsfaktorer!$B$10+L22*Emissionsfaktorer!$B$11+M22*Emissionsfaktorer!$B$12)</f>
        <v>80.279971312000015</v>
      </c>
    </row>
    <row r="23" spans="3:34" x14ac:dyDescent="0.35">
      <c r="C23" s="92">
        <f>AF23*' KF OECD Americas'!H$56/T23*' KF OECD Americas'!H$139/' KF OECD Americas'!H$139*-1</f>
        <v>-4.1871999999999999E-2</v>
      </c>
      <c r="D23" s="92"/>
      <c r="E23" s="92">
        <f>AF23*' KF OECD Americas'!H57/T23*' KF OECD Americas'!H$140/' KF OECD Americas'!H$140*-1</f>
        <v>-9.9236640000000005</v>
      </c>
      <c r="F23" s="92">
        <f>AF23*' KF OECD Americas'!H$58/T23*' KF OECD Americas'!H$140/' KF OECD Americas'!H$140*-1</f>
        <v>-8.3743999999999999E-2</v>
      </c>
      <c r="G23" s="92"/>
      <c r="H23" s="92"/>
      <c r="I23" s="92">
        <f>AF23*' KF OECD Americas'!H$59/T23*' KF OECD Americas'!H$142/' KF OECD Americas'!H$142*-1</f>
        <v>0</v>
      </c>
      <c r="J23" s="92">
        <f>AF23*' KF OECD Americas'!H$60/T23*' KF OECD Americas'!H$140/' KF OECD Americas'!H$140*-1</f>
        <v>0</v>
      </c>
      <c r="K23" s="92">
        <f>AF23*' KF OECD Americas'!H$61/T23*' KF OECD Americas'!H$141/' KF OECD Americas'!H$141*-1</f>
        <v>-0.46059199999999956</v>
      </c>
      <c r="L23" s="92">
        <f>AF23*' KF OECD Americas'!H$62/T23*' KF OECD Americas'!H$142/' KF OECD Americas'!H$142*-1</f>
        <v>0</v>
      </c>
      <c r="M23" s="92"/>
      <c r="N23" s="23">
        <f t="shared" si="8"/>
        <v>-10.509872</v>
      </c>
      <c r="O23" s="84" t="s">
        <v>92</v>
      </c>
      <c r="P23" s="85" t="s">
        <v>93</v>
      </c>
      <c r="Q23" s="86" t="s">
        <v>85</v>
      </c>
      <c r="R23" s="86"/>
      <c r="S23" s="24">
        <f t="shared" si="1"/>
        <v>3.4523464000000001</v>
      </c>
      <c r="T23" s="37">
        <f>(' KF OECD Americas'!H56+' KF OECD Americas'!H57+' KF OECD Americas'!H58+' KF OECD Americas'!H60)*' KF OECD Americas'!H140+(' KF OECD Americas'!H59+' KF OECD Americas'!H62)*' KF OECD Americas'!H142+' KF OECD Americas'!H61*' KF OECD Americas'!H141</f>
        <v>0.32848605577689244</v>
      </c>
      <c r="U23" s="61"/>
      <c r="V23" s="92"/>
      <c r="W23" s="92"/>
      <c r="X23" s="92"/>
      <c r="Y23" s="92"/>
      <c r="Z23" s="92"/>
      <c r="AA23" s="92"/>
      <c r="AB23" s="92"/>
      <c r="AC23" s="92"/>
      <c r="AD23" s="92"/>
      <c r="AE23" s="92"/>
      <c r="AF23" s="92">
        <f>((' KF OECD Americas'!G56+' KF OECD Americas'!G57+' KF OECD Americas'!G58+' KF OECD Americas'!G60)*' KF OECD Americas'!G140+(' KF OECD Americas'!G59+' KF OECD Americas'!G62)*' KF OECD Americas'!G142+' KF OECD Americas'!G61*' KF OECD Americas'!G141)*' KF OECD Americas'!H5*' KF OECD Americas'!H12*-1</f>
        <v>3.4523464000000001</v>
      </c>
      <c r="AG23" s="92">
        <f t="shared" si="9"/>
        <v>7.0575256</v>
      </c>
      <c r="AH23" s="87">
        <f>-(C23*Emissionsfaktorer!$B$2+D23*Emissionsfaktorer!$B$3+E23*Emissionsfaktorer!$B$4+F23*Emissionsfaktorer!$B$5+G23*Emissionsfaktorer!$B$6+H23*Emissionsfaktorer!$B$7+I23*Emissionsfaktorer!$B$8+J23*Emissionsfaktorer!$B$9+K23*Emissionsfaktorer!$B$10+L23*Emissionsfaktorer!$B$11+M23*Emissionsfaktorer!$B$12)</f>
        <v>0.76294971200000006</v>
      </c>
    </row>
    <row r="24" spans="3:34" x14ac:dyDescent="0.35">
      <c r="C24" s="92">
        <f>AF24*' KF OECD Americas'!H$64/T24*' KF OECD Americas'!H$139/' KF OECD Americas'!H$139*-1</f>
        <v>0</v>
      </c>
      <c r="D24" s="92"/>
      <c r="E24" s="92">
        <f>AF24*' KF OECD Americas'!H65/T24*' KF OECD Americas'!H$140/' KF OECD Americas'!H$140*-1</f>
        <v>0</v>
      </c>
      <c r="F24" s="92">
        <f>AF24*' KF OECD Americas'!H$66/T24*' KF OECD Americas'!H$140/' KF OECD Americas'!H$140*-1</f>
        <v>0</v>
      </c>
      <c r="G24" s="92"/>
      <c r="H24" s="92"/>
      <c r="I24" s="92">
        <f>AF24*' KF OECD Americas'!H$67/T24*' KF OECD Americas'!H$142/' KF OECD Americas'!H$142*-1</f>
        <v>-4.2711281763962257</v>
      </c>
      <c r="J24" s="92">
        <f>AF24*' KF OECD Americas'!H$68/T24*' KF OECD Americas'!H$140/' KF OECD Americas'!H$140*-1</f>
        <v>0</v>
      </c>
      <c r="K24" s="92">
        <f>AF24*' KF OECD Americas'!H$69/T24*' KF OECD Americas'!H$141/' KF OECD Americas'!H$141*-1</f>
        <v>-965.65183211640533</v>
      </c>
      <c r="L24" s="92">
        <f>AF24*' KF OECD Americas'!H$70/T24*' KF OECD Americas'!H$142/' KF OECD Americas'!H$142*-1</f>
        <v>-0.83747611301886771</v>
      </c>
      <c r="M24" s="92"/>
      <c r="N24" s="23">
        <f t="shared" si="8"/>
        <v>-970.76043640582043</v>
      </c>
      <c r="O24" s="84" t="s">
        <v>94</v>
      </c>
      <c r="P24" s="85" t="s">
        <v>95</v>
      </c>
      <c r="Q24" s="86" t="s">
        <v>85</v>
      </c>
      <c r="R24" s="86"/>
      <c r="S24" s="24">
        <f t="shared" si="1"/>
        <v>922.47784480000007</v>
      </c>
      <c r="T24" s="37">
        <f>(' KF OECD Americas'!H64+' KF OECD Americas'!H65+' KF OECD Americas'!H66+' KF OECD Americas'!H68)*' KF OECD Americas'!H139+(' KF OECD Americas'!H67+' KF OECD Americas'!H70)*' KF OECD Americas'!H142+' KF OECD Americas'!H69*' KF OECD Americas'!H141</f>
        <v>0.95026312384074518</v>
      </c>
      <c r="U24" s="61"/>
      <c r="V24" s="92"/>
      <c r="W24" s="92"/>
      <c r="X24" s="92"/>
      <c r="Y24" s="92"/>
      <c r="Z24" s="92"/>
      <c r="AA24" s="92"/>
      <c r="AB24" s="92"/>
      <c r="AC24" s="92"/>
      <c r="AD24" s="92"/>
      <c r="AE24" s="92"/>
      <c r="AF24" s="92">
        <f>((' KF OECD Americas'!G64+' KF OECD Americas'!G65+' KF OECD Americas'!G66+' KF OECD Americas'!G68)*' KF OECD Americas'!G139+(' KF OECD Americas'!G67+' KF OECD Americas'!G70)*' KF OECD Americas'!G142+' KF OECD Americas'!G69*' KF OECD Americas'!G141)*' KF OECD Americas'!H5*' KF OECD Americas'!H13*-1</f>
        <v>922.47784480000007</v>
      </c>
      <c r="AG24" s="92">
        <f t="shared" si="9"/>
        <v>48.282591605820357</v>
      </c>
      <c r="AH24" s="87">
        <f>-(C24*Emissionsfaktorer!$B$2+D24*Emissionsfaktorer!$B$3+E24*Emissionsfaktorer!$B$4+F24*Emissionsfaktorer!$B$5+G24*Emissionsfaktorer!$B$6+H24*Emissionsfaktorer!$B$7+I24*Emissionsfaktorer!$B$8+J24*Emissionsfaktorer!$B$9+K24*Emissionsfaktorer!$B$10+L24*Emissionsfaktorer!$B$11+M24*Emissionsfaktorer!$B$12)</f>
        <v>0</v>
      </c>
    </row>
    <row r="25" spans="3:34" x14ac:dyDescent="0.35"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23">
        <f>N16</f>
        <v>-74357.721248000002</v>
      </c>
      <c r="O25" s="10" t="s">
        <v>11</v>
      </c>
      <c r="P25" s="71" t="s">
        <v>96</v>
      </c>
      <c r="Q25" s="71"/>
      <c r="R25" s="71"/>
      <c r="S25" s="24">
        <f t="shared" si="1"/>
        <v>45522.801597044701</v>
      </c>
      <c r="T25" s="37">
        <f>AF25/N25*-1</f>
        <v>0.61221351102484367</v>
      </c>
      <c r="U25" s="61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>
        <f>AF16</f>
        <v>45522.801597044701</v>
      </c>
      <c r="AG25" s="14">
        <f>-(S25+N25)</f>
        <v>28834.9196509553</v>
      </c>
      <c r="AH25" s="14"/>
    </row>
    <row r="28" spans="3:34" x14ac:dyDescent="0.35">
      <c r="X28" s="95"/>
    </row>
    <row r="29" spans="3:34" x14ac:dyDescent="0.35">
      <c r="X29" s="95"/>
    </row>
    <row r="30" spans="3:34" x14ac:dyDescent="0.35">
      <c r="X30" s="95"/>
    </row>
  </sheetData>
  <pageMargins left="0.7" right="0.7" top="0.75" bottom="0.75" header="0.3" footer="0.3"/>
  <pageSetup paperSize="9" orientation="portrait" horizontalDpi="4294967293" verticalDpi="4294967293" r:id="rId1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sheetPr codeName="Ark79"/>
  <dimension ref="A1:AH30"/>
  <sheetViews>
    <sheetView topLeftCell="I7" zoomScale="130" zoomScaleNormal="130" workbookViewId="0">
      <selection activeCell="T30" sqref="T30"/>
    </sheetView>
  </sheetViews>
  <sheetFormatPr defaultRowHeight="14.5" x14ac:dyDescent="0.35"/>
  <cols>
    <col min="3" max="3" width="16.453125" customWidth="1"/>
    <col min="4" max="4" width="12.81640625" customWidth="1"/>
    <col min="5" max="5" width="12.54296875" customWidth="1"/>
    <col min="6" max="6" width="16.54296875" customWidth="1"/>
    <col min="10" max="10" width="12.54296875" customWidth="1"/>
    <col min="11" max="11" width="11.54296875" customWidth="1"/>
    <col min="14" max="14" width="10.81640625" customWidth="1"/>
    <col min="15" max="15" width="51.54296875" customWidth="1"/>
    <col min="16" max="18" width="15.81640625" customWidth="1"/>
    <col min="19" max="19" width="12.81640625" customWidth="1"/>
    <col min="24" max="24" width="14.1796875" bestFit="1" customWidth="1"/>
    <col min="33" max="34" width="11.26953125" customWidth="1"/>
  </cols>
  <sheetData>
    <row r="1" spans="1:34" ht="140" x14ac:dyDescent="0.35">
      <c r="B1" s="44" t="s">
        <v>0</v>
      </c>
      <c r="C1" s="3" t="s">
        <v>1</v>
      </c>
      <c r="D1" s="8" t="s">
        <v>2</v>
      </c>
      <c r="E1" s="2" t="s">
        <v>3</v>
      </c>
      <c r="F1" s="3" t="s">
        <v>4</v>
      </c>
      <c r="G1" s="1" t="s">
        <v>5</v>
      </c>
      <c r="H1" s="1" t="s">
        <v>6</v>
      </c>
      <c r="I1" s="1" t="s">
        <v>7</v>
      </c>
      <c r="J1" s="3" t="s">
        <v>8</v>
      </c>
      <c r="K1" s="2" t="s">
        <v>9</v>
      </c>
      <c r="L1" s="2" t="s">
        <v>10</v>
      </c>
      <c r="M1" s="17" t="s">
        <v>11</v>
      </c>
      <c r="N1" s="5" t="s">
        <v>12</v>
      </c>
      <c r="O1" s="4" t="s">
        <v>269</v>
      </c>
      <c r="P1" s="60"/>
      <c r="Q1" s="60"/>
      <c r="R1" s="12" t="s">
        <v>14</v>
      </c>
      <c r="S1" s="11" t="s">
        <v>15</v>
      </c>
      <c r="T1" s="12" t="s">
        <v>16</v>
      </c>
      <c r="U1" s="44" t="s">
        <v>17</v>
      </c>
      <c r="V1" s="3" t="s">
        <v>1</v>
      </c>
      <c r="W1" s="8" t="s">
        <v>2</v>
      </c>
      <c r="X1" s="9" t="s">
        <v>3</v>
      </c>
      <c r="Y1" s="3" t="s">
        <v>4</v>
      </c>
      <c r="Z1" s="1" t="s">
        <v>5</v>
      </c>
      <c r="AA1" s="1" t="s">
        <v>6</v>
      </c>
      <c r="AB1" s="1" t="s">
        <v>7</v>
      </c>
      <c r="AC1" s="3" t="s">
        <v>8</v>
      </c>
      <c r="AD1" s="2" t="s">
        <v>9</v>
      </c>
      <c r="AE1" s="2" t="s">
        <v>10</v>
      </c>
      <c r="AF1" s="17" t="s">
        <v>11</v>
      </c>
      <c r="AG1" s="13" t="s">
        <v>18</v>
      </c>
      <c r="AH1" s="13" t="s">
        <v>19</v>
      </c>
    </row>
    <row r="2" spans="1:34" ht="24.75" customHeight="1" x14ac:dyDescent="0.35">
      <c r="A2" s="45" t="s">
        <v>20</v>
      </c>
      <c r="B2" s="46" t="s">
        <v>21</v>
      </c>
      <c r="C2" s="46" t="s">
        <v>22</v>
      </c>
      <c r="D2" s="46" t="s">
        <v>23</v>
      </c>
      <c r="E2" s="47" t="s">
        <v>24</v>
      </c>
      <c r="F2" s="46" t="s">
        <v>25</v>
      </c>
      <c r="G2" s="46" t="s">
        <v>26</v>
      </c>
      <c r="H2" s="46" t="s">
        <v>27</v>
      </c>
      <c r="I2" s="46" t="s">
        <v>28</v>
      </c>
      <c r="J2" s="48" t="s">
        <v>29</v>
      </c>
      <c r="K2" s="47" t="s">
        <v>30</v>
      </c>
      <c r="L2" s="49" t="s">
        <v>31</v>
      </c>
      <c r="M2" s="49" t="s">
        <v>32</v>
      </c>
      <c r="N2" s="50" t="s">
        <v>33</v>
      </c>
      <c r="O2" s="51"/>
      <c r="P2" s="52" t="s">
        <v>20</v>
      </c>
      <c r="Q2" s="53" t="s">
        <v>34</v>
      </c>
      <c r="R2" s="50" t="s">
        <v>35</v>
      </c>
      <c r="S2" s="54" t="s">
        <v>36</v>
      </c>
      <c r="T2" s="50" t="s">
        <v>37</v>
      </c>
      <c r="U2" s="46" t="s">
        <v>38</v>
      </c>
      <c r="V2" s="46" t="s">
        <v>39</v>
      </c>
      <c r="W2" s="46" t="s">
        <v>40</v>
      </c>
      <c r="X2" s="47" t="s">
        <v>41</v>
      </c>
      <c r="Y2" s="46" t="s">
        <v>42</v>
      </c>
      <c r="Z2" s="46" t="s">
        <v>43</v>
      </c>
      <c r="AA2" s="46" t="s">
        <v>44</v>
      </c>
      <c r="AB2" s="46" t="s">
        <v>45</v>
      </c>
      <c r="AC2" s="46" t="s">
        <v>46</v>
      </c>
      <c r="AD2" s="47" t="s">
        <v>47</v>
      </c>
      <c r="AE2" s="47" t="s">
        <v>48</v>
      </c>
      <c r="AF2" s="49" t="s">
        <v>49</v>
      </c>
      <c r="AG2" s="46" t="s">
        <v>50</v>
      </c>
      <c r="AH2" s="46" t="s">
        <v>51</v>
      </c>
    </row>
    <row r="3" spans="1:34" ht="24.75" customHeight="1" x14ac:dyDescent="0.35">
      <c r="A3" s="45" t="s">
        <v>34</v>
      </c>
      <c r="B3" s="55"/>
      <c r="C3" s="56" t="s">
        <v>52</v>
      </c>
      <c r="D3" s="56" t="s">
        <v>52</v>
      </c>
      <c r="E3" s="56" t="s">
        <v>21</v>
      </c>
      <c r="F3" s="56" t="s">
        <v>21</v>
      </c>
      <c r="G3" s="56" t="s">
        <v>21</v>
      </c>
      <c r="H3" s="56" t="s">
        <v>52</v>
      </c>
      <c r="I3" s="56" t="s">
        <v>52</v>
      </c>
      <c r="J3" s="56" t="s">
        <v>21</v>
      </c>
      <c r="K3" s="56" t="s">
        <v>21</v>
      </c>
      <c r="L3" s="57" t="s">
        <v>21</v>
      </c>
      <c r="M3" s="57" t="s">
        <v>21</v>
      </c>
      <c r="N3" s="50"/>
      <c r="O3" s="51" t="s">
        <v>53</v>
      </c>
      <c r="P3" s="52"/>
      <c r="Q3" s="53"/>
      <c r="R3" s="74"/>
      <c r="S3" s="58"/>
      <c r="T3" s="59"/>
      <c r="U3" s="55"/>
      <c r="V3" s="56" t="s">
        <v>38</v>
      </c>
      <c r="W3" s="56" t="s">
        <v>38</v>
      </c>
      <c r="X3" s="56" t="s">
        <v>38</v>
      </c>
      <c r="Y3" s="56" t="s">
        <v>38</v>
      </c>
      <c r="Z3" s="56" t="s">
        <v>38</v>
      </c>
      <c r="AA3" s="56" t="s">
        <v>38</v>
      </c>
      <c r="AB3" s="56" t="s">
        <v>54</v>
      </c>
      <c r="AC3" s="56" t="s">
        <v>38</v>
      </c>
      <c r="AD3" s="56" t="s">
        <v>38</v>
      </c>
      <c r="AE3" s="56" t="s">
        <v>38</v>
      </c>
      <c r="AF3" s="57" t="s">
        <v>38</v>
      </c>
      <c r="AG3" s="56"/>
      <c r="AH3" s="56"/>
    </row>
    <row r="4" spans="1:34" ht="24.75" customHeight="1" x14ac:dyDescent="0.35">
      <c r="A4" s="72" t="s">
        <v>55</v>
      </c>
      <c r="B4" s="72"/>
      <c r="C4" s="56"/>
      <c r="D4" s="56"/>
      <c r="E4" s="56"/>
      <c r="F4" s="56"/>
      <c r="G4" s="56"/>
      <c r="H4" s="56"/>
      <c r="I4" s="56"/>
      <c r="J4" s="56"/>
      <c r="K4" s="56"/>
      <c r="L4" s="57"/>
      <c r="M4" s="57"/>
      <c r="N4" s="50"/>
      <c r="O4" s="51"/>
      <c r="P4" s="73"/>
      <c r="Q4" s="53"/>
      <c r="R4" s="74"/>
      <c r="S4" s="58"/>
      <c r="T4" s="59"/>
      <c r="U4" s="55">
        <f>B4</f>
        <v>0</v>
      </c>
      <c r="V4" s="56"/>
      <c r="W4" s="56"/>
      <c r="X4" s="56"/>
      <c r="Y4" s="56"/>
      <c r="Z4" s="56"/>
      <c r="AA4" s="56"/>
      <c r="AB4" s="56"/>
      <c r="AC4" s="56"/>
      <c r="AD4" s="56"/>
      <c r="AE4" s="56"/>
      <c r="AF4" s="57"/>
      <c r="AG4" s="56">
        <f>U4</f>
        <v>0</v>
      </c>
      <c r="AH4" s="56">
        <f>U4</f>
        <v>0</v>
      </c>
    </row>
    <row r="5" spans="1:34" x14ac:dyDescent="0.35">
      <c r="C5" s="14"/>
      <c r="D5" s="14"/>
      <c r="E5" s="14"/>
      <c r="F5" s="14"/>
      <c r="G5" s="14"/>
      <c r="H5" s="14"/>
      <c r="I5" s="14"/>
      <c r="J5" s="14"/>
      <c r="K5" s="14"/>
      <c r="L5" s="14"/>
      <c r="M5" s="14"/>
      <c r="N5" s="23">
        <f>SUM(C5:M5)</f>
        <v>0</v>
      </c>
      <c r="O5" s="10" t="s">
        <v>56</v>
      </c>
      <c r="P5" s="62" t="s">
        <v>57</v>
      </c>
      <c r="Q5" s="63"/>
      <c r="R5" s="63"/>
      <c r="S5" s="24">
        <f>SUM(V5:AF5)</f>
        <v>103826.06425508091</v>
      </c>
      <c r="T5" s="37"/>
      <c r="U5" s="61"/>
      <c r="V5" s="14">
        <f>-(C6+C5)</f>
        <v>14458.494318181472</v>
      </c>
      <c r="W5" s="14">
        <f>-(D6+D5)</f>
        <v>37479.879630177988</v>
      </c>
      <c r="X5" s="14"/>
      <c r="Y5" s="14">
        <f>-(F6+F5)</f>
        <v>35621.488149658384</v>
      </c>
      <c r="Z5" s="14">
        <f>-(G6+G5)</f>
        <v>10446.458687137718</v>
      </c>
      <c r="AA5" s="14"/>
      <c r="AB5" s="14"/>
      <c r="AC5" s="14">
        <f>-(J6+J5)</f>
        <v>5819.7434699253427</v>
      </c>
      <c r="AD5" s="14"/>
      <c r="AE5" s="14"/>
      <c r="AF5" s="14"/>
      <c r="AG5" s="14"/>
      <c r="AH5" s="14"/>
    </row>
    <row r="6" spans="1:34" x14ac:dyDescent="0.35">
      <c r="C6" s="14">
        <f>-V6</f>
        <v>-14458.494318181472</v>
      </c>
      <c r="D6" s="14">
        <f>-W6</f>
        <v>-37479.879630177988</v>
      </c>
      <c r="E6" s="14"/>
      <c r="F6" s="14">
        <f>-Y6</f>
        <v>-35621.488149658384</v>
      </c>
      <c r="G6" s="14">
        <f>-Z6</f>
        <v>-10446.458687137718</v>
      </c>
      <c r="H6" s="14"/>
      <c r="I6" s="14"/>
      <c r="J6" s="14">
        <f>-AC6</f>
        <v>-5819.7434699253427</v>
      </c>
      <c r="K6" s="14"/>
      <c r="L6" s="18"/>
      <c r="M6" s="18"/>
      <c r="N6" s="23">
        <f t="shared" ref="N6:N15" si="0">SUM(C6:M6)</f>
        <v>-103826.06425508091</v>
      </c>
      <c r="O6" s="22" t="s">
        <v>58</v>
      </c>
      <c r="P6" s="65" t="s">
        <v>59</v>
      </c>
      <c r="Q6" s="66"/>
      <c r="R6" s="66"/>
      <c r="S6" s="24">
        <f t="shared" ref="S6:S25" si="1">SUM(V6:AF6)</f>
        <v>103826.06425508091</v>
      </c>
      <c r="T6" s="37"/>
      <c r="U6" s="61"/>
      <c r="V6" s="14">
        <f>-(C16+C8)</f>
        <v>14458.494318181472</v>
      </c>
      <c r="W6" s="14">
        <f>-(D16+D8)</f>
        <v>37479.879630177988</v>
      </c>
      <c r="X6" s="14"/>
      <c r="Y6" s="14">
        <f>-(F16+F8)</f>
        <v>35621.488149658384</v>
      </c>
      <c r="Z6" s="14">
        <f>-(G16+G8)</f>
        <v>10446.458687137718</v>
      </c>
      <c r="AA6" s="14"/>
      <c r="AB6" s="14"/>
      <c r="AC6" s="14">
        <f>-(J16+J8)</f>
        <v>5819.7434699253427</v>
      </c>
      <c r="AD6" s="14"/>
      <c r="AE6" s="14"/>
      <c r="AF6" s="14"/>
      <c r="AG6" s="21">
        <f>-(N6+S6)</f>
        <v>0</v>
      </c>
      <c r="AH6" s="21"/>
    </row>
    <row r="7" spans="1:34" x14ac:dyDescent="0.35"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23">
        <f t="shared" si="0"/>
        <v>0</v>
      </c>
      <c r="O7" s="22" t="s">
        <v>60</v>
      </c>
      <c r="P7" s="67" t="s">
        <v>61</v>
      </c>
      <c r="Q7" s="66"/>
      <c r="R7" s="66"/>
      <c r="S7" s="24">
        <f t="shared" si="1"/>
        <v>4696.155635408868</v>
      </c>
      <c r="T7" s="37"/>
      <c r="U7" s="61"/>
      <c r="V7" s="14"/>
      <c r="W7" s="14"/>
      <c r="X7" s="14"/>
      <c r="Y7" s="14"/>
      <c r="Z7" s="16"/>
      <c r="AA7" s="19">
        <f>-H8</f>
        <v>2659.5943409879787</v>
      </c>
      <c r="AB7" s="19">
        <f>-I8</f>
        <v>2036.5612944208892</v>
      </c>
      <c r="AC7" s="14"/>
      <c r="AD7" s="14"/>
      <c r="AE7" s="14"/>
      <c r="AF7" s="14"/>
      <c r="AG7" s="14"/>
      <c r="AH7" s="14"/>
    </row>
    <row r="8" spans="1:34" x14ac:dyDescent="0.35">
      <c r="C8" s="14">
        <f>SUM(C9:C13)</f>
        <v>-13502.389145879597</v>
      </c>
      <c r="D8" s="14">
        <f t="shared" ref="D8:M8" si="2">SUM(D9:D13)</f>
        <v>-37479.879630177988</v>
      </c>
      <c r="E8" s="14">
        <f t="shared" si="2"/>
        <v>-3000.5027471886824</v>
      </c>
      <c r="F8" s="14">
        <f t="shared" si="2"/>
        <v>-17969.172824480702</v>
      </c>
      <c r="G8" s="14">
        <f t="shared" si="2"/>
        <v>-10446.458687137718</v>
      </c>
      <c r="H8" s="14">
        <f t="shared" si="2"/>
        <v>-2659.5943409879787</v>
      </c>
      <c r="I8" s="14">
        <f t="shared" si="2"/>
        <v>-2036.5612944208892</v>
      </c>
      <c r="J8" s="14">
        <f t="shared" si="2"/>
        <v>-1275.245193794492</v>
      </c>
      <c r="K8" s="14">
        <f t="shared" si="2"/>
        <v>-1598.2123680000004</v>
      </c>
      <c r="L8" s="14">
        <f t="shared" si="2"/>
        <v>-159.86729599999998</v>
      </c>
      <c r="M8" s="14">
        <f t="shared" si="2"/>
        <v>0</v>
      </c>
      <c r="N8" s="23">
        <f t="shared" si="0"/>
        <v>-90127.883528068036</v>
      </c>
      <c r="O8" s="22" t="s">
        <v>62</v>
      </c>
      <c r="P8" s="67" t="s">
        <v>63</v>
      </c>
      <c r="Q8" s="66"/>
      <c r="R8" s="66"/>
      <c r="S8" s="24">
        <f t="shared" si="1"/>
        <v>56920.868017244764</v>
      </c>
      <c r="T8" s="37"/>
      <c r="U8" s="61"/>
      <c r="V8" s="14">
        <f>SUM(V9:V13)</f>
        <v>0</v>
      </c>
      <c r="W8" s="14"/>
      <c r="X8" s="14">
        <f>(E14+E8)*-1</f>
        <v>36536.998374578514</v>
      </c>
      <c r="Y8" s="14"/>
      <c r="Z8" s="14"/>
      <c r="AA8" s="14"/>
      <c r="AB8" s="14"/>
      <c r="AC8" s="14"/>
      <c r="AD8" s="14">
        <f>(K14+K8)*-1</f>
        <v>19878.516719674746</v>
      </c>
      <c r="AE8" s="14">
        <f>(L14+L8)*-1</f>
        <v>505.35292299149944</v>
      </c>
      <c r="AF8" s="14"/>
      <c r="AG8" s="21">
        <f>-(N8+S8)</f>
        <v>33207.015510823272</v>
      </c>
      <c r="AH8" s="21">
        <f>SUM(AH9:AH13)</f>
        <v>2535.0080286403013</v>
      </c>
    </row>
    <row r="9" spans="1:34" x14ac:dyDescent="0.35">
      <c r="C9" s="26">
        <f>-($AD$9+$H$9+$I$9)/$T$9*' KF OECD Americas'!$I109</f>
        <v>-13164.152999139389</v>
      </c>
      <c r="D9" s="26">
        <f>-($AD$9+$H$9+$I$9)/$T$9*' KF OECD Americas'!$I110</f>
        <v>0</v>
      </c>
      <c r="E9" s="26">
        <f>-($AD$9+$H$9+$I$9)/$T$9*' KF OECD Americas'!$I111</f>
        <v>-732.94057296122958</v>
      </c>
      <c r="F9" s="26">
        <f>-($AD$9+$H$9+$I$9)/$T$9*' KF OECD Americas'!$I112</f>
        <v>-11482.567845309042</v>
      </c>
      <c r="G9" s="26">
        <f>-($AD$9+$H$9+$I$9)/$T$9*' KF OECD Americas'!$I113</f>
        <v>-10446.458687137718</v>
      </c>
      <c r="H9" s="26">
        <f>AD9*' KF OECD Americas'!I94*-1</f>
        <v>-2659.5943409879787</v>
      </c>
      <c r="I9" s="26">
        <f>AD9*' KF OECD Americas'!I95*-1</f>
        <v>-2036.5612944208892</v>
      </c>
      <c r="J9" s="26">
        <f>-($AD$9+$H$9+$I$9)/$T$9*' KF OECD Americas'!$I114</f>
        <v>-752.82460636230689</v>
      </c>
      <c r="K9" s="25"/>
      <c r="L9" s="25"/>
      <c r="M9" s="25"/>
      <c r="N9" s="23">
        <f t="shared" si="0"/>
        <v>-41275.100346318555</v>
      </c>
      <c r="O9" s="6" t="s">
        <v>64</v>
      </c>
      <c r="P9" s="68" t="s">
        <v>65</v>
      </c>
      <c r="Q9" s="69" t="s">
        <v>63</v>
      </c>
      <c r="R9" s="69"/>
      <c r="S9" s="24">
        <f t="shared" si="1"/>
        <v>18613.049342035458</v>
      </c>
      <c r="T9" s="37">
        <f>' KF OECD Americas'!I104</f>
        <v>0.38046186998051557</v>
      </c>
      <c r="U9" s="61"/>
      <c r="V9" s="28"/>
      <c r="W9" s="28"/>
      <c r="X9" s="28"/>
      <c r="Y9" s="28"/>
      <c r="Z9" s="28"/>
      <c r="AA9" s="28"/>
      <c r="AB9" s="28"/>
      <c r="AC9" s="28"/>
      <c r="AD9" s="28">
        <f>AD8-AD10</f>
        <v>18613.049342035458</v>
      </c>
      <c r="AE9" s="28"/>
      <c r="AF9" s="28"/>
      <c r="AG9" s="29">
        <f>-(S9+N9)</f>
        <v>22662.051004283097</v>
      </c>
      <c r="AH9" s="29">
        <f>-(C9*Emissionsfaktorer!$B$2*(1-' KF OECD Americas'!I134)+D9*Emissionsfaktorer!$B$3+E9*Emissionsfaktorer!$B$4*(1-' KF OECD Americas'!I135)+F9*Emissionsfaktorer!$B$5*(1-' KF OECD Americas'!I136)+G9*Emissionsfaktorer!$B$6+H9*Emissionsfaktorer!$B$7+I9*Emissionsfaktorer!$B$8-J9*Emissionsfaktorer!B13*' KF OECD Americas'!I137+K9*Emissionsfaktorer!$B$10+L9*Emissionsfaktorer!$B$11+M9*Emissionsfaktorer!$B$12)</f>
        <v>1960.8043856459108</v>
      </c>
    </row>
    <row r="10" spans="1:34" x14ac:dyDescent="0.35">
      <c r="C10" s="26">
        <f>-($AD$10+$AE$10+$H$10+$I$10)/$T$10*' KF OECD Americas'!$I116</f>
        <v>-266.67621828795245</v>
      </c>
      <c r="D10" s="26">
        <f>-($AD$10+$AE$10+$H$10+$I$10)/$T$10*' KF OECD Americas'!$I117</f>
        <v>0</v>
      </c>
      <c r="E10" s="26">
        <f>-($AD$10+$AE$10+$H$10+$I$10)/$T$10*' KF OECD Americas'!$I118</f>
        <v>-108.97683022745282</v>
      </c>
      <c r="F10" s="26">
        <f>-($AD$10+$AE$10+$H$10+$I$10)/$T$10*' KF OECD Americas'!$I119</f>
        <v>-2024.347811171657</v>
      </c>
      <c r="G10" s="26">
        <f>-($AD$10+$AE$10+$H$10+$I$10)/$T$10*' KF OECD Americas'!$I120</f>
        <v>0</v>
      </c>
      <c r="H10" s="26"/>
      <c r="I10" s="26">
        <f>(AD10+AE10)*' KF OECD Americas'!I98*-1</f>
        <v>0</v>
      </c>
      <c r="J10" s="26">
        <f>-($AD$10+$AE$10+$H$10+$I$10)/$T$10*' KF OECD Americas'!$I121</f>
        <v>-509.39540595581326</v>
      </c>
      <c r="K10" s="25"/>
      <c r="L10" s="25"/>
      <c r="M10" s="25"/>
      <c r="N10" s="23">
        <f t="shared" si="0"/>
        <v>-2909.3962656428753</v>
      </c>
      <c r="O10" s="6" t="s">
        <v>66</v>
      </c>
      <c r="P10" s="68" t="s">
        <v>67</v>
      </c>
      <c r="Q10" s="69" t="s">
        <v>63</v>
      </c>
      <c r="R10" s="69"/>
      <c r="S10" s="24">
        <f t="shared" si="1"/>
        <v>1766.4373980484272</v>
      </c>
      <c r="T10" s="37">
        <f>' KF OECD Americas'!I105</f>
        <v>0.60714912537295973</v>
      </c>
      <c r="U10" s="61"/>
      <c r="V10" s="28"/>
      <c r="W10" s="28"/>
      <c r="X10" s="28"/>
      <c r="Y10" s="28"/>
      <c r="Z10" s="28"/>
      <c r="AA10" s="28"/>
      <c r="AB10" s="28"/>
      <c r="AC10" s="28"/>
      <c r="AD10" s="28">
        <f>AE10*' KF OECD Americas'!I90</f>
        <v>1265.4673776392892</v>
      </c>
      <c r="AE10" s="28">
        <f>AE8*' KF OECD Americas'!I85</f>
        <v>500.97002040913799</v>
      </c>
      <c r="AF10" s="28"/>
      <c r="AG10" s="29">
        <f t="shared" ref="AG10:AG11" si="3">-(S10+N10)</f>
        <v>1142.9588675944481</v>
      </c>
      <c r="AH10" s="29">
        <f>-(C10*Emissionsfaktorer!$B$2*(1-' KF OECD Americas'!I135)+D10*Emissionsfaktorer!$B$3+E10*Emissionsfaktorer!$B$4*(1-' KF OECD Americas'!I136)+F10*Emissionsfaktorer!$B$5*(1-' KF OECD Americas'!I137)+G10*Emissionsfaktorer!$B$6+H10*Emissionsfaktorer!$B$7+I10*Emissionsfaktorer!$B$8-J10*Emissionsfaktorer!B14*' KF OECD Americas'!I142+K10*Emissionsfaktorer!$B$10+L10*Emissionsfaktorer!$B$11+M10*Emissionsfaktorer!$B$12)</f>
        <v>149.00430507142636</v>
      </c>
    </row>
    <row r="11" spans="1:34" x14ac:dyDescent="0.35">
      <c r="C11" s="26">
        <f>-($AE$11+$H$11+$I$11)/$T$11*' KF OECD Americas'!$I123</f>
        <v>-4.2552452255936291E-2</v>
      </c>
      <c r="D11" s="26">
        <f>-($AE$11+$H$11+$I$11)/$T$11*' KF OECD Americas'!$I124</f>
        <v>0</v>
      </c>
      <c r="E11" s="26">
        <f>-($AE$11+$H$11+$I$11)/$T$11*' KF OECD Americas'!$I125</f>
        <v>0</v>
      </c>
      <c r="F11" s="26">
        <f>-($AE$11+$H$11+$I$11)/$T$11*' KF OECD Americas'!$I126</f>
        <v>0</v>
      </c>
      <c r="G11" s="26">
        <f>-($AE$11+$H$11+$I$11)/$T$11*' KF OECD Americas'!$I127</f>
        <v>0</v>
      </c>
      <c r="H11" s="26"/>
      <c r="I11" s="26">
        <f>AE11*' KF OECD Americas'!I101*-1</f>
        <v>0</v>
      </c>
      <c r="J11" s="26">
        <f>-($AE$11+$H$11+$I$11)/$T$11*' KF OECD Americas'!$I128</f>
        <v>-8.0424134763719586</v>
      </c>
      <c r="K11" s="28">
        <f>AE11*' KF OECD Americas'!I88*-1</f>
        <v>0</v>
      </c>
      <c r="L11" s="25"/>
      <c r="M11" s="25"/>
      <c r="N11" s="23">
        <f t="shared" si="0"/>
        <v>-8.084965928627895</v>
      </c>
      <c r="O11" s="6" t="s">
        <v>68</v>
      </c>
      <c r="P11" s="64" t="s">
        <v>69</v>
      </c>
      <c r="Q11" s="69" t="s">
        <v>63</v>
      </c>
      <c r="R11" s="69"/>
      <c r="S11" s="24">
        <f t="shared" si="1"/>
        <v>4.3829025823614378</v>
      </c>
      <c r="T11" s="37">
        <f>' KF OECD Americas'!I106</f>
        <v>0.54210526315789476</v>
      </c>
      <c r="U11" s="61"/>
      <c r="V11" s="28"/>
      <c r="W11" s="28"/>
      <c r="X11" s="28"/>
      <c r="Y11" s="28"/>
      <c r="Z11" s="28"/>
      <c r="AA11" s="28"/>
      <c r="AB11" s="28"/>
      <c r="AC11" s="28"/>
      <c r="AD11" s="28"/>
      <c r="AE11" s="28">
        <f>AE8*' KF OECD Americas'!I86</f>
        <v>4.3829025823614378</v>
      </c>
      <c r="AF11" s="28"/>
      <c r="AG11" s="29">
        <f t="shared" si="3"/>
        <v>3.7020633462664572</v>
      </c>
      <c r="AH11" s="29">
        <f>-(C11*Emissionsfaktorer!$B$2+D11*Emissionsfaktorer!$B$3+E11*Emissionsfaktorer!$B$4+F11*Emissionsfaktorer!$B$5+G11*Emissionsfaktorer!$B$6+H11*Emissionsfaktorer!$B$7+I11*Emissionsfaktorer!$B$8+J11*Emissionsfaktorer!$B$9+K11*Emissionsfaktorer!$B$10+L11*Emissionsfaktorer!$B$11+M11*Emissionsfaktorer!$B$12)</f>
        <v>4.0424829643139473E-3</v>
      </c>
    </row>
    <row r="12" spans="1:34" x14ac:dyDescent="0.35">
      <c r="C12" s="26"/>
      <c r="D12" s="26">
        <f>-X12/T12*' KF OECD Americas'!I130</f>
        <v>-37479.879630177988</v>
      </c>
      <c r="E12" s="25"/>
      <c r="F12" s="26"/>
      <c r="G12" s="26"/>
      <c r="H12" s="26"/>
      <c r="I12" s="26"/>
      <c r="J12" s="27">
        <f>-X12/T12*' KF OECD Americas'!I131</f>
        <v>0</v>
      </c>
      <c r="K12" s="25"/>
      <c r="L12" s="25"/>
      <c r="M12" s="25"/>
      <c r="N12" s="23">
        <f t="shared" si="0"/>
        <v>-37479.879630177988</v>
      </c>
      <c r="O12" s="6" t="s">
        <v>70</v>
      </c>
      <c r="P12" s="64" t="s">
        <v>71</v>
      </c>
      <c r="Q12" s="69" t="s">
        <v>63</v>
      </c>
      <c r="R12" s="69"/>
      <c r="S12" s="24">
        <f t="shared" si="1"/>
        <v>36536.998374578514</v>
      </c>
      <c r="T12" s="37">
        <f>' KF OECD Americas'!I107</f>
        <v>0.97484300203460938</v>
      </c>
      <c r="U12" s="61"/>
      <c r="V12" s="28"/>
      <c r="W12" s="28"/>
      <c r="X12" s="28">
        <f>-(E9+E10+E11+E13+E14)</f>
        <v>36536.998374578514</v>
      </c>
      <c r="Y12" s="28"/>
      <c r="Z12" s="28"/>
      <c r="AA12" s="28"/>
      <c r="AB12" s="28"/>
      <c r="AC12" s="28"/>
      <c r="AD12" s="28"/>
      <c r="AE12" s="28"/>
      <c r="AF12" s="28"/>
      <c r="AG12" s="29">
        <f>-(S12+N12)</f>
        <v>942.88125559947366</v>
      </c>
      <c r="AH12" s="29">
        <f>J12*Emissionsfaktorer!B4</f>
        <v>0</v>
      </c>
    </row>
    <row r="13" spans="1:34" x14ac:dyDescent="0.35">
      <c r="C13" s="28">
        <f>N13*' KF OECD Americas'!I79</f>
        <v>-71.517375999999999</v>
      </c>
      <c r="D13" s="28">
        <f>N13*' KF OECD Americas'!I81</f>
        <v>0</v>
      </c>
      <c r="E13" s="28">
        <f>N13*' KF OECD Americas'!I82</f>
        <v>-2158.5853440000001</v>
      </c>
      <c r="F13" s="28">
        <f>N13*' KF OECD Americas'!I80</f>
        <v>-4462.2571680000001</v>
      </c>
      <c r="G13" s="28"/>
      <c r="H13" s="28"/>
      <c r="I13" s="28"/>
      <c r="J13" s="36">
        <f>N13*' KF OECD Americas'!I83</f>
        <v>-4.9827679999999992</v>
      </c>
      <c r="K13" s="28">
        <f>N13*' KF OECD Americas'!I77</f>
        <v>-1598.2123680000004</v>
      </c>
      <c r="L13" s="28">
        <f>N13*' KF OECD Americas'!I78</f>
        <v>-159.86729599999998</v>
      </c>
      <c r="M13" s="25"/>
      <c r="N13" s="23">
        <f>N16*' KF OECD Americas'!I75</f>
        <v>-8455.4223199999997</v>
      </c>
      <c r="O13" s="6" t="s">
        <v>72</v>
      </c>
      <c r="P13" s="64" t="s">
        <v>73</v>
      </c>
      <c r="Q13" s="69" t="s">
        <v>63</v>
      </c>
      <c r="R13" s="69"/>
      <c r="S13" s="24">
        <f t="shared" si="1"/>
        <v>0</v>
      </c>
      <c r="T13" s="37">
        <v>0</v>
      </c>
      <c r="U13" s="61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9">
        <f>-(S13+N13)</f>
        <v>8455.4223199999997</v>
      </c>
      <c r="AH13" s="29">
        <f>-(C13*Emissionsfaktorer!$B$2+D13*Emissionsfaktorer!$B$3+E13*Emissionsfaktorer!$B$4+F13*Emissionsfaktorer!$B$5+G13*Emissionsfaktorer!$B$6+H13*Emissionsfaktorer!$B$7+I13*Emissionsfaktorer!$B$8+J13*Emissionsfaktorer!$B$9+K13*Emissionsfaktorer!$B$10+L13*Emissionsfaktorer!$B$11+M13*Emissionsfaktorer!$B$12)</f>
        <v>425.19529544</v>
      </c>
    </row>
    <row r="14" spans="1:34" x14ac:dyDescent="0.35">
      <c r="C14" s="15"/>
      <c r="D14" s="15"/>
      <c r="E14" s="16">
        <f>-X14*1</f>
        <v>-33536.495627389835</v>
      </c>
      <c r="F14" s="15"/>
      <c r="G14" s="15"/>
      <c r="H14" s="15"/>
      <c r="I14" s="15"/>
      <c r="J14" s="20"/>
      <c r="K14" s="16">
        <f>-AD14*(1+' KF OECD Americas'!I72)</f>
        <v>-18280.304351674746</v>
      </c>
      <c r="L14" s="16">
        <f>-AE14*(1+' KF OECD Americas'!I73)</f>
        <v>-345.48562699149943</v>
      </c>
      <c r="M14" s="16"/>
      <c r="N14" s="23">
        <f t="shared" si="0"/>
        <v>-52162.285606056081</v>
      </c>
      <c r="O14" s="22" t="s">
        <v>74</v>
      </c>
      <c r="P14" s="66" t="s">
        <v>75</v>
      </c>
      <c r="Q14" s="70"/>
      <c r="R14" s="70"/>
      <c r="S14" s="24">
        <f t="shared" si="1"/>
        <v>51040.535111372592</v>
      </c>
      <c r="T14" s="37"/>
      <c r="U14" s="61"/>
      <c r="V14" s="16"/>
      <c r="W14" s="16"/>
      <c r="X14" s="16">
        <f>-E16</f>
        <v>33536.495627389835</v>
      </c>
      <c r="Y14" s="16"/>
      <c r="Z14" s="16"/>
      <c r="AA14" s="16"/>
      <c r="AB14" s="16"/>
      <c r="AC14" s="16"/>
      <c r="AD14" s="16">
        <f>-K16</f>
        <v>17215.709096458402</v>
      </c>
      <c r="AE14" s="16">
        <f>-L16</f>
        <v>288.33038752435647</v>
      </c>
      <c r="AF14" s="16"/>
      <c r="AG14" s="21">
        <f>-(N14+S14)</f>
        <v>1121.7504946834888</v>
      </c>
      <c r="AH14" s="21"/>
    </row>
    <row r="15" spans="1:34" x14ac:dyDescent="0.35"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23">
        <f t="shared" si="0"/>
        <v>0</v>
      </c>
      <c r="O15" s="22" t="s">
        <v>76</v>
      </c>
      <c r="P15" s="67" t="s">
        <v>77</v>
      </c>
      <c r="Q15" s="66"/>
      <c r="R15" s="66"/>
      <c r="S15" s="24">
        <f t="shared" si="1"/>
        <v>164.30581743007639</v>
      </c>
      <c r="T15" s="37"/>
      <c r="U15" s="61"/>
      <c r="V15" s="14"/>
      <c r="W15" s="14"/>
      <c r="X15" s="14"/>
      <c r="Y15" s="14"/>
      <c r="Z15" s="14"/>
      <c r="AA15" s="14"/>
      <c r="AB15" s="14">
        <f>I16*-1</f>
        <v>164.30581743007639</v>
      </c>
      <c r="AC15" s="14"/>
      <c r="AD15" s="14"/>
      <c r="AE15" s="14"/>
      <c r="AF15" s="14"/>
      <c r="AG15" s="14"/>
      <c r="AH15" s="14"/>
    </row>
    <row r="16" spans="1:34" x14ac:dyDescent="0.35">
      <c r="C16" s="14">
        <f t="shared" ref="C16:M16" si="4">SUM(C17:C19)</f>
        <v>-956.10517230187509</v>
      </c>
      <c r="D16" s="14">
        <f t="shared" si="4"/>
        <v>0</v>
      </c>
      <c r="E16" s="14">
        <f t="shared" si="4"/>
        <v>-33536.495627389835</v>
      </c>
      <c r="F16" s="14">
        <f t="shared" si="4"/>
        <v>-17652.315325177678</v>
      </c>
      <c r="G16" s="14">
        <f t="shared" si="4"/>
        <v>0</v>
      </c>
      <c r="H16" s="14">
        <f t="shared" si="4"/>
        <v>0</v>
      </c>
      <c r="I16" s="14">
        <f t="shared" si="4"/>
        <v>-164.30581743007639</v>
      </c>
      <c r="J16" s="14">
        <f t="shared" si="4"/>
        <v>-4544.4982761308511</v>
      </c>
      <c r="K16" s="14">
        <f t="shared" si="4"/>
        <v>-17215.709096458402</v>
      </c>
      <c r="L16" s="14">
        <f t="shared" si="4"/>
        <v>-288.33038752435647</v>
      </c>
      <c r="M16" s="14">
        <f t="shared" si="4"/>
        <v>0</v>
      </c>
      <c r="N16" s="23">
        <f>' KF OECD Americas'!I5</f>
        <v>-74357.721248000002</v>
      </c>
      <c r="O16" s="10" t="s">
        <v>78</v>
      </c>
      <c r="P16" s="71" t="s">
        <v>79</v>
      </c>
      <c r="Q16" s="71"/>
      <c r="R16" s="71"/>
      <c r="S16" s="24">
        <f t="shared" si="1"/>
        <v>45522.801597044701</v>
      </c>
      <c r="T16" s="37"/>
      <c r="U16" s="61"/>
      <c r="V16" s="14"/>
      <c r="W16" s="14"/>
      <c r="X16" s="14"/>
      <c r="Y16" s="14"/>
      <c r="Z16" s="14"/>
      <c r="AA16" s="14"/>
      <c r="AB16" s="14"/>
      <c r="AC16" s="14"/>
      <c r="AD16" s="14"/>
      <c r="AE16" s="14"/>
      <c r="AF16" s="14">
        <f>SUM(AF17:AF19)</f>
        <v>45522.801597044701</v>
      </c>
      <c r="AG16" s="14">
        <f t="shared" ref="AG16:AH16" si="5">SUM(AG17:AG19)</f>
        <v>28834.958105368376</v>
      </c>
      <c r="AH16" s="14">
        <f t="shared" si="5"/>
        <v>3645.7856325854327</v>
      </c>
    </row>
    <row r="17" spans="3:34" x14ac:dyDescent="0.35">
      <c r="C17" s="25">
        <f>AF17*' KF OECD Americas'!I15/T17*' KF OECD Americas'!I139/' KF OECD Americas'!I$139*-1</f>
        <v>-937.89092799999992</v>
      </c>
      <c r="D17" s="25">
        <f>AF17*' KF OECD Americas'!I16/T17*' KF OECD Americas'!I139/' KF OECD Americas'!I$139*-1</f>
        <v>0</v>
      </c>
      <c r="E17" s="25">
        <f>AF17*' KF OECD Americas'!I17/T17*' KF OECD Americas'!I139/' KF OECD Americas'!I$139*-1</f>
        <v>-1530.3797279999999</v>
      </c>
      <c r="F17" s="25">
        <f>AF17*' KF OECD Americas'!I18/T17*' KF OECD Americas'!I139/' KF OECD Americas'!I$139*-1</f>
        <v>-6859.2616800000005</v>
      </c>
      <c r="G17" s="25"/>
      <c r="H17" s="25"/>
      <c r="I17" s="25">
        <f>AF17*' KF OECD Americas'!I19/T17*' KF OECD Americas'!I142/' KF OECD Americas'!I$142*-1</f>
        <v>-0.66995199999999999</v>
      </c>
      <c r="J17" s="25">
        <f>AF17*' KF OECD Americas'!I20*' KF OECD Americas'!I139/T17/' KF OECD Americas'!I$139*-1</f>
        <v>-1805.3112799999999</v>
      </c>
      <c r="K17" s="25">
        <f>AF17*' KF OECD Americas'!I21*' KF OECD Americas'!I141/T17/' KF OECD Americas'!I$141*-1</f>
        <v>-4142.2294720000018</v>
      </c>
      <c r="L17" s="25">
        <f>AF17*' KF OECD Americas'!I22*' KF OECD Americas'!I142/T17/' KF OECD Americas'!I$142*-1</f>
        <v>-231.55215999999999</v>
      </c>
      <c r="M17" s="25"/>
      <c r="N17" s="23">
        <f>SUM(C17:L17)</f>
        <v>-15507.2952</v>
      </c>
      <c r="O17" s="6" t="s">
        <v>80</v>
      </c>
      <c r="P17" s="64" t="s">
        <v>81</v>
      </c>
      <c r="Q17" s="69" t="s">
        <v>79</v>
      </c>
      <c r="R17" s="69"/>
      <c r="S17" s="24">
        <f t="shared" si="1"/>
        <v>13073.615003200002</v>
      </c>
      <c r="T17" s="37">
        <f>(' KF OECD Americas'!I15+' KF OECD Americas'!I16+' KF OECD Americas'!I17+' KF OECD Americas'!I18+' KF OECD Americas'!I20)*' KF OECD Americas'!I139+(' KF OECD Americas'!I19+' KF OECD Americas'!I22)*' KF OECD Americas'!I142+' KF OECD Americas'!I21*' KF OECD Americas'!I141</f>
        <v>0.84306223842311345</v>
      </c>
      <c r="U17" s="61"/>
      <c r="V17" s="25"/>
      <c r="W17" s="25"/>
      <c r="X17" s="25"/>
      <c r="Y17" s="25"/>
      <c r="Z17" s="25"/>
      <c r="AA17" s="25"/>
      <c r="AB17" s="25"/>
      <c r="AC17" s="25"/>
      <c r="AD17" s="25"/>
      <c r="AE17" s="25"/>
      <c r="AF17" s="25">
        <f>' KF OECD Americas'!I5*' KF OECD Americas'!I7*((' KF OECD Americas'!G15+' KF OECD Americas'!G16+' KF OECD Americas'!G17+' KF OECD Americas'!G18+' KF OECD Americas'!G20)*' KF OECD Americas'!G139+(' KF OECD Americas'!G19+' KF OECD Americas'!G22)*' KF OECD Americas'!G142+' KF OECD Americas'!G21*' KF OECD Americas'!G141)*-1</f>
        <v>13073.615003200002</v>
      </c>
      <c r="AG17" s="25">
        <f>(S17+SUM(C17:M17))*-1</f>
        <v>2433.6801967999982</v>
      </c>
      <c r="AH17" s="29">
        <f>-(C17*Emissionsfaktorer!$B$2+D17*Emissionsfaktorer!$B$3+E17*Emissionsfaktorer!$B$4+F17*Emissionsfaktorer!$B$5+G17*Emissionsfaktorer!$B$6+H17*Emissionsfaktorer!$B$7+I17*Emissionsfaktorer!$B$8+J17*Emissionsfaktorer!$B$9+K17*Emissionsfaktorer!$B$10+L17*Emissionsfaktorer!$B$11+M17*Emissionsfaktorer!$B$12)</f>
        <v>596.38641324800005</v>
      </c>
    </row>
    <row r="18" spans="3:34" x14ac:dyDescent="0.35">
      <c r="C18" s="25">
        <f>AF18*' KF OECD Americas'!I24/T18*' KF OECD Americas'!I140/' KF OECD Americas'!I$140*-1</f>
        <v>0</v>
      </c>
      <c r="D18" s="25"/>
      <c r="E18" s="25">
        <f>AF18*' KF OECD Americas'!I25/T18*' KF OECD Americas'!I140/' KF OECD Americas'!I$140*-1</f>
        <v>-29407.748561080789</v>
      </c>
      <c r="F18" s="25">
        <f>AF18*' KF OECD Americas'!I26/T18*' KF OECD Americas'!I140/' KF OECD Americas'!I$140*-1</f>
        <v>-1054.6314279562448</v>
      </c>
      <c r="G18" s="25"/>
      <c r="H18" s="25"/>
      <c r="I18" s="25">
        <f>AF18*' KF OECD Americas'!I27/T18*' KF OECD Americas'!I142/' KF OECD Americas'!I$142*-1</f>
        <v>0</v>
      </c>
      <c r="J18" s="25">
        <f>AF18*' KF OECD Americas'!I28/T18*' KF OECD Americas'!I140/' KF OECD Americas'!I$140*-1</f>
        <v>-1657.505263653788</v>
      </c>
      <c r="K18" s="25">
        <f>AF18*' KF OECD Americas'!I29/T18*' KF OECD Americas'!I141/' KF OECD Americas'!I$141*-1</f>
        <v>-80.896808623951443</v>
      </c>
      <c r="L18" s="25">
        <f>AF18*' KF OECD Americas'!I30/T18*' KF OECD Americas'!I142/' KF OECD Americas'!I$142*-1</f>
        <v>0</v>
      </c>
      <c r="M18" s="25"/>
      <c r="N18" s="23">
        <f>SUM(C18:L18)</f>
        <v>-32200.782061314774</v>
      </c>
      <c r="O18" s="6" t="s">
        <v>82</v>
      </c>
      <c r="P18" s="64" t="s">
        <v>83</v>
      </c>
      <c r="Q18" s="69" t="s">
        <v>79</v>
      </c>
      <c r="R18" s="69"/>
      <c r="S18" s="24">
        <f t="shared" si="1"/>
        <v>9712.8175439999995</v>
      </c>
      <c r="T18" s="37">
        <f>(' KF OECD Americas'!I24+' KF OECD Americas'!I25+' KF OECD Americas'!I26+' KF OECD Americas'!I28)*' KF OECD Americas'!I140+(' KF OECD Americas'!I27+' KF OECD Americas'!I30)*' KF OECD Americas'!I142+' KF OECD Americas'!I29*' KF OECD Americas'!I141</f>
        <v>0.3016329704510109</v>
      </c>
      <c r="U18" s="61"/>
      <c r="V18" s="25"/>
      <c r="W18" s="25"/>
      <c r="X18" s="25"/>
      <c r="Y18" s="25"/>
      <c r="Z18" s="25"/>
      <c r="AA18" s="25"/>
      <c r="AB18" s="25"/>
      <c r="AC18" s="25"/>
      <c r="AD18" s="25"/>
      <c r="AE18" s="25"/>
      <c r="AF18" s="25">
        <f>' KF OECD Americas'!I5*' KF OECD Americas'!I8*-1*((' KF OECD Americas'!G24+' KF OECD Americas'!G25+' KF OECD Americas'!G26+' KF OECD Americas'!G28)*' KF OECD Americas'!G140+(' KF OECD Americas'!G27+' KF OECD Americas'!G30)*' KF OECD Americas'!G142+' KF OECD Americas'!G29*' KF OECD Americas'!G141)</f>
        <v>9712.8175439999995</v>
      </c>
      <c r="AG18" s="25">
        <f>(S18+SUM(C18:M18))*-1</f>
        <v>22487.964517314773</v>
      </c>
      <c r="AH18" s="29">
        <f>-(C18*Emissionsfaktorer!$B$2+D18*Emissionsfaktorer!$B$3+E18*Emissionsfaktorer!$B$4+F18*Emissionsfaktorer!$B$5+G18*Emissionsfaktorer!$B$6+H18*Emissionsfaktorer!$B$7+I18*Emissionsfaktorer!$B$8+J18*Emissionsfaktorer!$B$9+K18*Emissionsfaktorer!$B$10+L18*Emissionsfaktorer!$B$11+M18*Emissionsfaktorer!$B$12)</f>
        <v>2295.1028820356455</v>
      </c>
    </row>
    <row r="19" spans="3:34" x14ac:dyDescent="0.35">
      <c r="C19" s="25">
        <f>SUM(C20:C24)</f>
        <v>-18.214244301875151</v>
      </c>
      <c r="D19" s="25">
        <f t="shared" ref="D19:M19" si="6">SUM(D20:D24)</f>
        <v>0</v>
      </c>
      <c r="E19" s="25">
        <f t="shared" si="6"/>
        <v>-2598.3673383090463</v>
      </c>
      <c r="F19" s="25">
        <f t="shared" si="6"/>
        <v>-9738.4222172214322</v>
      </c>
      <c r="G19" s="25">
        <f t="shared" si="6"/>
        <v>0</v>
      </c>
      <c r="H19" s="25">
        <f t="shared" si="6"/>
        <v>0</v>
      </c>
      <c r="I19" s="25">
        <f t="shared" si="6"/>
        <v>-163.63586543007639</v>
      </c>
      <c r="J19" s="25">
        <f t="shared" si="6"/>
        <v>-1081.6817324770636</v>
      </c>
      <c r="K19" s="25">
        <f t="shared" si="6"/>
        <v>-12992.58281583445</v>
      </c>
      <c r="L19" s="25">
        <f t="shared" si="6"/>
        <v>-56.778227524356474</v>
      </c>
      <c r="M19" s="25">
        <f t="shared" si="6"/>
        <v>0</v>
      </c>
      <c r="N19" s="23">
        <f>SUM(N20:N24)</f>
        <v>-26649.682441098299</v>
      </c>
      <c r="O19" s="6" t="s">
        <v>84</v>
      </c>
      <c r="P19" s="64" t="s">
        <v>85</v>
      </c>
      <c r="Q19" s="69" t="s">
        <v>79</v>
      </c>
      <c r="R19" s="69"/>
      <c r="S19" s="24">
        <f t="shared" si="1"/>
        <v>22736.369049844696</v>
      </c>
      <c r="T19" s="37">
        <v>0.8</v>
      </c>
      <c r="U19" s="61"/>
      <c r="V19" s="25">
        <f>SUM(V20:V24)</f>
        <v>0</v>
      </c>
      <c r="W19" s="25">
        <f t="shared" ref="W19:AH19" si="7">SUM(W20:W24)</f>
        <v>0</v>
      </c>
      <c r="X19" s="25">
        <f t="shared" si="7"/>
        <v>0</v>
      </c>
      <c r="Y19" s="25">
        <f t="shared" si="7"/>
        <v>0</v>
      </c>
      <c r="Z19" s="25">
        <f t="shared" si="7"/>
        <v>0</v>
      </c>
      <c r="AA19" s="25">
        <f t="shared" si="7"/>
        <v>0</v>
      </c>
      <c r="AB19" s="25">
        <f t="shared" si="7"/>
        <v>0</v>
      </c>
      <c r="AC19" s="25">
        <f t="shared" si="7"/>
        <v>0</v>
      </c>
      <c r="AD19" s="25">
        <f t="shared" si="7"/>
        <v>0</v>
      </c>
      <c r="AE19" s="25">
        <f t="shared" si="7"/>
        <v>0</v>
      </c>
      <c r="AF19" s="25">
        <f t="shared" si="7"/>
        <v>22736.369049844696</v>
      </c>
      <c r="AG19" s="25">
        <f t="shared" si="7"/>
        <v>3913.3133912536046</v>
      </c>
      <c r="AH19" s="25">
        <f t="shared" si="7"/>
        <v>754.29633730178728</v>
      </c>
    </row>
    <row r="20" spans="3:34" x14ac:dyDescent="0.35">
      <c r="C20" s="92">
        <f>AF20*' KF OECD Americas'!I$32/T20*' KF OECD Americas'!I$139/' KF OECD Americas'!I$139*-1</f>
        <v>-0.33497701652348344</v>
      </c>
      <c r="D20" s="92"/>
      <c r="E20" s="92">
        <f>AF20*' KF OECD Americas'!I33/T20*' KF OECD Americas'!I$140/' KF OECD Americas'!I$140*-1</f>
        <v>-994.92361120181124</v>
      </c>
      <c r="F20" s="92">
        <f>AF20*' KF OECD Americas'!I$34/T20*' KF OECD Americas'!I$140/' KF OECD Americas'!I$140*-1</f>
        <v>-5642.1016335591621</v>
      </c>
      <c r="G20" s="92"/>
      <c r="H20" s="92"/>
      <c r="I20" s="92">
        <f>AF20*' KF OECD Americas'!I$35/T20*' KF OECD Americas'!I$142/' KF OECD Americas'!I$142*-1</f>
        <v>-80.520100346832322</v>
      </c>
      <c r="J20" s="92">
        <f>AF20*' KF OECD Americas'!I$36/T20*' KF OECD Americas'!I$140/' KF OECD Americas'!I$140*-1</f>
        <v>-919.84688737348552</v>
      </c>
      <c r="K20" s="92">
        <f>AF20*' KF OECD Americas'!I$37/T20*' KF OECD Americas'!I$141/' KF OECD Americas'!I$141*-1</f>
        <v>-6160.4366945021884</v>
      </c>
      <c r="L20" s="92">
        <f>AF20*' KF OECD Americas'!I$38/T20*' KF OECD Americas'!I$142/' KF OECD Americas'!I$142*-1</f>
        <v>0</v>
      </c>
      <c r="M20" s="92"/>
      <c r="N20" s="23">
        <f>SUM(C20:L20)</f>
        <v>-13798.163904000003</v>
      </c>
      <c r="O20" s="84" t="s">
        <v>86</v>
      </c>
      <c r="P20" s="85" t="s">
        <v>87</v>
      </c>
      <c r="Q20" s="86" t="s">
        <v>85</v>
      </c>
      <c r="R20" s="86"/>
      <c r="S20" s="24">
        <f t="shared" si="1"/>
        <v>11978.700647444697</v>
      </c>
      <c r="T20" s="37">
        <f>(' KF OECD Americas'!I32+' KF OECD Americas'!I33+' KF OECD Americas'!I34+' KF OECD Americas'!I36)*' KF OECD Americas'!I139+(' KF OECD Americas'!I35+' KF OECD Americas'!I38)*' KF OECD Americas'!I142+' KF OECD Americas'!I37*' KF OECD Americas'!I141</f>
        <v>0.86813729209088075</v>
      </c>
      <c r="U20" s="61"/>
      <c r="V20" s="92"/>
      <c r="W20" s="92"/>
      <c r="X20" s="92"/>
      <c r="Y20" s="92"/>
      <c r="Z20" s="92"/>
      <c r="AA20" s="92"/>
      <c r="AB20" s="92"/>
      <c r="AC20" s="92"/>
      <c r="AD20" s="92"/>
      <c r="AE20" s="92"/>
      <c r="AF20" s="92">
        <f>' KF OECD Americas'!I5*' KF OECD Americas'!I9*((' KF OECD Americas'!G32+' KF OECD Americas'!G33+' KF OECD Americas'!G34+' KF OECD Americas'!G36)*' KF OECD Americas'!G139+(' KF OECD Americas'!G35+' KF OECD Americas'!G38)*' KF OECD Americas'!G142+' KF OECD Americas'!G37*' KF OECD Americas'!G141)*-1</f>
        <v>11978.700647444697</v>
      </c>
      <c r="AG20" s="92">
        <f>(N20+AF20)*-1</f>
        <v>1819.4632565553056</v>
      </c>
      <c r="AH20" s="87">
        <f>-(C20*Emissionsfaktorer!$B$2+D20*Emissionsfaktorer!$B$3+E20*Emissionsfaktorer!$B$4+F20*Emissionsfaktorer!$B$5+G20*Emissionsfaktorer!$B$6+H20*Emissionsfaktorer!$B$7+I20*Emissionsfaktorer!$B$8+J20*Emissionsfaktorer!$B$9+K20*Emissionsfaktorer!$B$10+L20*Emissionsfaktorer!$B$11+M20*Emissionsfaktorer!$B$12)</f>
        <v>397.24581038077963</v>
      </c>
    </row>
    <row r="21" spans="3:34" x14ac:dyDescent="0.35">
      <c r="C21" s="92">
        <f>AF21*' KF OECD Americas'!I$40/T21*' KF OECD Americas'!I$139/' KF OECD Americas'!I$139*-1</f>
        <v>-17.837395285351665</v>
      </c>
      <c r="D21" s="92"/>
      <c r="E21" s="92">
        <f>AF21*' KF OECD Americas'!I41/T21*' KF OECD Americas'!I$140/' KF OECD Americas'!I$140*-1</f>
        <v>-614.05023910723503</v>
      </c>
      <c r="F21" s="92">
        <f>AF21*' KF OECD Americas'!I$42/T21*' KF OECD Americas'!I$140/' KF OECD Americas'!I$140*-1</f>
        <v>-3993.7760556622698</v>
      </c>
      <c r="G21" s="92"/>
      <c r="H21" s="92"/>
      <c r="I21" s="92">
        <f>AF21*' KF OECD Americas'!I$43/T21*' KF OECD Americas'!I$142/' KF OECD Americas'!I$142*-1</f>
        <v>-78.844636906847853</v>
      </c>
      <c r="J21" s="92">
        <f>AF21*' KF OECD Americas'!I$44/T21*' KF OECD Americas'!I$140/' KF OECD Americas'!I$140*-1</f>
        <v>-101.12044510357809</v>
      </c>
      <c r="K21" s="92">
        <f>AF21*' KF OECD Americas'!I$45/T21*' KF OECD Americas'!I$141/' KF OECD Americas'!I$141*-1</f>
        <v>-5613.5874092158583</v>
      </c>
      <c r="L21" s="92">
        <f>AF21*' KF OECD Americas'!I$46/T21*' KF OECD Americas'!I$142/' KF OECD Americas'!I$142*-1</f>
        <v>-55.940751411337608</v>
      </c>
      <c r="M21" s="92"/>
      <c r="N21" s="23">
        <f t="shared" ref="N21:N24" si="8">SUM(C21:L21)</f>
        <v>-10475.156932692478</v>
      </c>
      <c r="O21" s="84" t="s">
        <v>88</v>
      </c>
      <c r="P21" s="85" t="s">
        <v>89</v>
      </c>
      <c r="Q21" s="86" t="s">
        <v>85</v>
      </c>
      <c r="R21" s="86"/>
      <c r="S21" s="24">
        <f t="shared" si="1"/>
        <v>9249.1207352000001</v>
      </c>
      <c r="T21" s="37">
        <f>(' KF OECD Americas'!I40+' KF OECD Americas'!I41+' KF OECD Americas'!I42+' KF OECD Americas'!I44)*' KF OECD Americas'!I139+(' KF OECD Americas'!I43+' KF OECD Americas'!I46)*' KF OECD Americas'!I142+' KF OECD Americas'!I45*' KF OECD Americas'!I141</f>
        <v>0.88295772508514148</v>
      </c>
      <c r="U21" s="61"/>
      <c r="V21" s="92"/>
      <c r="W21" s="92"/>
      <c r="X21" s="92"/>
      <c r="Y21" s="92"/>
      <c r="Z21" s="92"/>
      <c r="AA21" s="92"/>
      <c r="AB21" s="92"/>
      <c r="AC21" s="92"/>
      <c r="AD21" s="92"/>
      <c r="AE21" s="92"/>
      <c r="AF21" s="92">
        <f>' KF OECD Americas'!I5*' KF OECD Americas'!I10*((' KF OECD Americas'!G40+' KF OECD Americas'!G41+' KF OECD Americas'!G42+' KF OECD Americas'!G44)*' KF OECD Americas'!G139+(' KF OECD Americas'!G43+' KF OECD Americas'!G46)*' KF OECD Americas'!G142+' KF OECD Americas'!G45*' KF OECD Americas'!G141)*-1</f>
        <v>9249.1207352000001</v>
      </c>
      <c r="AG21" s="92">
        <f t="shared" ref="AG21:AG24" si="9">(N21+AF21)*-1</f>
        <v>1226.0361974924781</v>
      </c>
      <c r="AH21" s="87">
        <f>-(C21*Emissionsfaktorer!$B$2+D21*Emissionsfaktorer!$B$3+E21*Emissionsfaktorer!$B$4+F21*Emissionsfaktorer!$B$5+G21*Emissionsfaktorer!$B$6+H21*Emissionsfaktorer!$B$7+I21*Emissionsfaktorer!$B$8+J21*Emissionsfaktorer!$B$9+K21*Emissionsfaktorer!$B$10+L21*Emissionsfaktorer!$B$11+M21*Emissionsfaktorer!$B$12)</f>
        <v>276.00760589700764</v>
      </c>
    </row>
    <row r="22" spans="3:34" x14ac:dyDescent="0.35">
      <c r="C22" s="92">
        <f>AF22*' KF OECD Americas'!I$48/T22*' KF OECD Americas'!I$139/' KF OECD Americas'!I$139*-1</f>
        <v>0</v>
      </c>
      <c r="D22" s="92"/>
      <c r="E22" s="92">
        <f>AF22*' KF OECD Americas'!I49/T22*' KF OECD Americas'!I$140/' KF OECD Americas'!I$140*-1</f>
        <v>-979.46982400000013</v>
      </c>
      <c r="F22" s="92">
        <f>AF22*' KF OECD Americas'!I$50/T22*' KF OECD Americas'!I$140/' KF OECD Americas'!I$140*-1</f>
        <v>-102.460784</v>
      </c>
      <c r="G22" s="92"/>
      <c r="H22" s="92"/>
      <c r="I22" s="92">
        <f>AF22*' KF OECD Americas'!I$51/T22*' KF OECD Americas'!I$142/' KF OECD Americas'!I$142*-1</f>
        <v>0</v>
      </c>
      <c r="J22" s="92">
        <f>AF22*' KF OECD Americas'!I$52/T22*' KF OECD Americas'!I$140/' KF OECD Americas'!I$140*-1</f>
        <v>-60.714400000000005</v>
      </c>
      <c r="K22" s="92">
        <f>AF22*' KF OECD Americas'!I$53/T22*' KF OECD Americas'!I$141/' KF OECD Americas'!I$141*-1</f>
        <v>-252.44628799999998</v>
      </c>
      <c r="L22" s="92">
        <f>AF22*' KF OECD Americas'!I$54/T22*' KF OECD Americas'!I$142/' KF OECD Americas'!I$142*-1</f>
        <v>0</v>
      </c>
      <c r="M22" s="92"/>
      <c r="N22" s="23">
        <f t="shared" si="8"/>
        <v>-1395.0912960000001</v>
      </c>
      <c r="O22" s="84" t="s">
        <v>90</v>
      </c>
      <c r="P22" s="85" t="s">
        <v>91</v>
      </c>
      <c r="Q22" s="86" t="s">
        <v>85</v>
      </c>
      <c r="R22" s="86"/>
      <c r="S22" s="24">
        <f t="shared" si="1"/>
        <v>582.61747600000001</v>
      </c>
      <c r="T22" s="37">
        <f>(' KF OECD Americas'!I48+' KF OECD Americas'!I49+' KF OECD Americas'!I50+' KF OECD Americas'!I52)*' KF OECD Americas'!I140+(' KF OECD Americas'!I51+' KF OECD Americas'!I54)*' KF OECD Americas'!I142+' KF OECD Americas'!I53*' KF OECD Americas'!I141</f>
        <v>0.41761960501830842</v>
      </c>
      <c r="U22" s="61"/>
      <c r="V22" s="92"/>
      <c r="W22" s="92"/>
      <c r="X22" s="92"/>
      <c r="Y22" s="92"/>
      <c r="Z22" s="92"/>
      <c r="AA22" s="92"/>
      <c r="AB22" s="92"/>
      <c r="AC22" s="92"/>
      <c r="AD22" s="92"/>
      <c r="AE22" s="92"/>
      <c r="AF22" s="92">
        <f>((' KF OECD Americas'!G48+' KF OECD Americas'!G49+' KF OECD Americas'!G50+' KF OECD Americas'!G52)*' KF OECD Americas'!G140+(' KF OECD Americas'!G51+' KF OECD Americas'!G54)*' KF OECD Americas'!G142+' KF OECD Americas'!G53*' KF OECD Americas'!G141)*' KF OECD Americas'!I11*' KF OECD Americas'!I5*-1</f>
        <v>582.61747600000001</v>
      </c>
      <c r="AG22" s="92">
        <f t="shared" si="9"/>
        <v>812.47382000000005</v>
      </c>
      <c r="AH22" s="87">
        <f>-(C22*Emissionsfaktorer!$B$2+D22*Emissionsfaktorer!$B$3+E22*Emissionsfaktorer!$B$4+F22*Emissionsfaktorer!$B$5+G22*Emissionsfaktorer!$B$6+H22*Emissionsfaktorer!$B$7+I22*Emissionsfaktorer!$B$8+J22*Emissionsfaktorer!$B$9+K22*Emissionsfaktorer!$B$10+L22*Emissionsfaktorer!$B$11+M22*Emissionsfaktorer!$B$12)</f>
        <v>80.279971312000015</v>
      </c>
    </row>
    <row r="23" spans="3:34" x14ac:dyDescent="0.35">
      <c r="C23" s="92">
        <f>AF23*' KF OECD Americas'!I$56/T23*' KF OECD Americas'!I$139/' KF OECD Americas'!I$139*-1</f>
        <v>-4.1871999999999999E-2</v>
      </c>
      <c r="D23" s="92"/>
      <c r="E23" s="92">
        <f>AF23*' KF OECD Americas'!I57/T23*' KF OECD Americas'!I$140/' KF OECD Americas'!I$140*-1</f>
        <v>-9.9236640000000005</v>
      </c>
      <c r="F23" s="92">
        <f>AF23*' KF OECD Americas'!I$58/T23*' KF OECD Americas'!I$140/' KF OECD Americas'!I$140*-1</f>
        <v>-8.3743999999999999E-2</v>
      </c>
      <c r="G23" s="92"/>
      <c r="H23" s="92"/>
      <c r="I23" s="92">
        <f>AF23*' KF OECD Americas'!I$59/T23*' KF OECD Americas'!I$142/' KF OECD Americas'!I$142*-1</f>
        <v>0</v>
      </c>
      <c r="J23" s="92">
        <f>AF23*' KF OECD Americas'!I$60/T23*' KF OECD Americas'!I$140/' KF OECD Americas'!I$140*-1</f>
        <v>0</v>
      </c>
      <c r="K23" s="92">
        <f>AF23*' KF OECD Americas'!I$61/T23*' KF OECD Americas'!I$141/' KF OECD Americas'!I$141*-1</f>
        <v>-0.46059199999999956</v>
      </c>
      <c r="L23" s="92">
        <f>AF23*' KF OECD Americas'!I$62/T23*' KF OECD Americas'!I$142/' KF OECD Americas'!I$142*-1</f>
        <v>0</v>
      </c>
      <c r="M23" s="92"/>
      <c r="N23" s="23">
        <f t="shared" si="8"/>
        <v>-10.509872</v>
      </c>
      <c r="O23" s="84" t="s">
        <v>92</v>
      </c>
      <c r="P23" s="85" t="s">
        <v>93</v>
      </c>
      <c r="Q23" s="86" t="s">
        <v>85</v>
      </c>
      <c r="R23" s="86"/>
      <c r="S23" s="24">
        <f t="shared" si="1"/>
        <v>3.4523464000000001</v>
      </c>
      <c r="T23" s="37">
        <f>(' KF OECD Americas'!I56+' KF OECD Americas'!I57+' KF OECD Americas'!I58+' KF OECD Americas'!I60)*' KF OECD Americas'!I140+(' KF OECD Americas'!I59+' KF OECD Americas'!I62)*' KF OECD Americas'!I142+' KF OECD Americas'!I61*' KF OECD Americas'!I141</f>
        <v>0.32848605577689244</v>
      </c>
      <c r="U23" s="61"/>
      <c r="V23" s="92"/>
      <c r="W23" s="92"/>
      <c r="X23" s="92"/>
      <c r="Y23" s="92"/>
      <c r="Z23" s="92"/>
      <c r="AA23" s="92"/>
      <c r="AB23" s="92"/>
      <c r="AC23" s="92"/>
      <c r="AD23" s="92"/>
      <c r="AE23" s="92"/>
      <c r="AF23" s="92">
        <f>((' KF OECD Americas'!G56+' KF OECD Americas'!G57+' KF OECD Americas'!G58+' KF OECD Americas'!G60)*' KF OECD Americas'!G140+(' KF OECD Americas'!G59+' KF OECD Americas'!G62)*' KF OECD Americas'!G142+' KF OECD Americas'!G61*' KF OECD Americas'!G141)*' KF OECD Americas'!I5*' KF OECD Americas'!I12*-1</f>
        <v>3.4523464000000001</v>
      </c>
      <c r="AG23" s="92">
        <f t="shared" si="9"/>
        <v>7.0575256</v>
      </c>
      <c r="AH23" s="87">
        <f>-(C23*Emissionsfaktorer!$B$2+D23*Emissionsfaktorer!$B$3+E23*Emissionsfaktorer!$B$4+F23*Emissionsfaktorer!$B$5+G23*Emissionsfaktorer!$B$6+H23*Emissionsfaktorer!$B$7+I23*Emissionsfaktorer!$B$8+J23*Emissionsfaktorer!$B$9+K23*Emissionsfaktorer!$B$10+L23*Emissionsfaktorer!$B$11+M23*Emissionsfaktorer!$B$12)</f>
        <v>0.76294971200000006</v>
      </c>
    </row>
    <row r="24" spans="3:34" x14ac:dyDescent="0.35">
      <c r="C24" s="92">
        <f>AF24*' KF OECD Americas'!I$64/T24*' KF OECD Americas'!I$139/' KF OECD Americas'!I$139*-1</f>
        <v>0</v>
      </c>
      <c r="D24" s="92"/>
      <c r="E24" s="92">
        <f>AF24*' KF OECD Americas'!I65/T24*' KF OECD Americas'!I$140/' KF OECD Americas'!I$140*-1</f>
        <v>0</v>
      </c>
      <c r="F24" s="92">
        <f>AF24*' KF OECD Americas'!I$66/T24*' KF OECD Americas'!I$140/' KF OECD Americas'!I$140*-1</f>
        <v>0</v>
      </c>
      <c r="G24" s="92"/>
      <c r="H24" s="92"/>
      <c r="I24" s="92">
        <f>AF24*' KF OECD Americas'!I$67/T24*' KF OECD Americas'!I$142/' KF OECD Americas'!I$142*-1</f>
        <v>-4.2711281763962257</v>
      </c>
      <c r="J24" s="92">
        <f>AF24*' KF OECD Americas'!I$68/T24*' KF OECD Americas'!I$140/' KF OECD Americas'!I$140*-1</f>
        <v>0</v>
      </c>
      <c r="K24" s="92">
        <f>AF24*' KF OECD Americas'!I$69/T24*' KF OECD Americas'!I$141/' KF OECD Americas'!I$141*-1</f>
        <v>-965.65183211640533</v>
      </c>
      <c r="L24" s="92">
        <f>AF24*' KF OECD Americas'!I$70/T24*' KF OECD Americas'!I$142/' KF OECD Americas'!I$142*-1</f>
        <v>-0.83747611301886771</v>
      </c>
      <c r="M24" s="92"/>
      <c r="N24" s="23">
        <f t="shared" si="8"/>
        <v>-970.76043640582043</v>
      </c>
      <c r="O24" s="84" t="s">
        <v>94</v>
      </c>
      <c r="P24" s="85" t="s">
        <v>95</v>
      </c>
      <c r="Q24" s="86" t="s">
        <v>85</v>
      </c>
      <c r="R24" s="86"/>
      <c r="S24" s="24">
        <f t="shared" si="1"/>
        <v>922.47784480000007</v>
      </c>
      <c r="T24" s="37">
        <f>(' KF OECD Americas'!I64+' KF OECD Americas'!I65+' KF OECD Americas'!I66+' KF OECD Americas'!I68)*' KF OECD Americas'!I139+(' KF OECD Americas'!I67+' KF OECD Americas'!I70)*' KF OECD Americas'!I142+' KF OECD Americas'!I69*' KF OECD Americas'!I141</f>
        <v>0.95026312384074518</v>
      </c>
      <c r="U24" s="61"/>
      <c r="V24" s="92"/>
      <c r="W24" s="92"/>
      <c r="X24" s="92"/>
      <c r="Y24" s="92"/>
      <c r="Z24" s="92"/>
      <c r="AA24" s="92"/>
      <c r="AB24" s="92"/>
      <c r="AC24" s="92"/>
      <c r="AD24" s="92"/>
      <c r="AE24" s="92"/>
      <c r="AF24" s="92">
        <f>((' KF OECD Americas'!G64+' KF OECD Americas'!G65+' KF OECD Americas'!G66+' KF OECD Americas'!G68)*' KF OECD Americas'!G139+(' KF OECD Americas'!G67+' KF OECD Americas'!G70)*' KF OECD Americas'!G142+' KF OECD Americas'!G69*' KF OECD Americas'!G141)*' KF OECD Americas'!I5*' KF OECD Americas'!I13*-1</f>
        <v>922.47784480000007</v>
      </c>
      <c r="AG24" s="92">
        <f t="shared" si="9"/>
        <v>48.282591605820357</v>
      </c>
      <c r="AH24" s="87">
        <f>-(C24*Emissionsfaktorer!$B$2+D24*Emissionsfaktorer!$B$3+E24*Emissionsfaktorer!$B$4+F24*Emissionsfaktorer!$B$5+G24*Emissionsfaktorer!$B$6+H24*Emissionsfaktorer!$B$7+I24*Emissionsfaktorer!$B$8+J24*Emissionsfaktorer!$B$9+K24*Emissionsfaktorer!$B$10+L24*Emissionsfaktorer!$B$11+M24*Emissionsfaktorer!$B$12)</f>
        <v>0</v>
      </c>
    </row>
    <row r="25" spans="3:34" x14ac:dyDescent="0.35"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23">
        <f>N16</f>
        <v>-74357.721248000002</v>
      </c>
      <c r="O25" s="10" t="s">
        <v>11</v>
      </c>
      <c r="P25" s="71" t="s">
        <v>96</v>
      </c>
      <c r="Q25" s="71"/>
      <c r="R25" s="71"/>
      <c r="S25" s="24">
        <f t="shared" si="1"/>
        <v>45522.801597044701</v>
      </c>
      <c r="T25" s="37">
        <f>AF25/N25*-1</f>
        <v>0.61221351102484367</v>
      </c>
      <c r="U25" s="61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>
        <f>AF16</f>
        <v>45522.801597044701</v>
      </c>
      <c r="AG25" s="14">
        <f>-(S25+N25)</f>
        <v>28834.9196509553</v>
      </c>
      <c r="AH25" s="14"/>
    </row>
    <row r="28" spans="3:34" x14ac:dyDescent="0.35">
      <c r="X28" s="95"/>
    </row>
    <row r="29" spans="3:34" x14ac:dyDescent="0.35">
      <c r="X29" s="95"/>
    </row>
    <row r="30" spans="3:34" x14ac:dyDescent="0.35">
      <c r="X30" s="95"/>
    </row>
  </sheetData>
  <pageMargins left="0.7" right="0.7" top="0.75" bottom="0.75" header="0.3" footer="0.3"/>
  <pageSetup paperSize="9" orientation="portrait" horizontalDpi="4294967293" verticalDpi="4294967293" r:id="rId1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sheetPr codeName="Ark80">
    <tabColor theme="9" tint="-0.499984740745262"/>
  </sheetPr>
  <dimension ref="A1:K142"/>
  <sheetViews>
    <sheetView zoomScaleNormal="100" workbookViewId="0">
      <pane ySplit="1" topLeftCell="A96" activePane="bottomLeft" state="frozen"/>
      <selection pane="bottomLeft" activeCell="H99" sqref="H99:I99"/>
    </sheetView>
  </sheetViews>
  <sheetFormatPr defaultRowHeight="14.5" x14ac:dyDescent="0.35"/>
  <cols>
    <col min="1" max="1" width="71" customWidth="1"/>
    <col min="2" max="2" width="9.7265625" customWidth="1"/>
    <col min="10" max="10" width="15.1796875" customWidth="1"/>
    <col min="11" max="11" width="13.7265625" customWidth="1"/>
  </cols>
  <sheetData>
    <row r="1" spans="1:11" ht="15.75" customHeight="1" x14ac:dyDescent="0.35">
      <c r="A1" t="s">
        <v>128</v>
      </c>
      <c r="B1" s="76">
        <f>(('OECD Americas 1995'!$B12+'OECD Americas 1995'!$B13+'OECD Americas 1995'!$B14+'OECD Americas 1995'!$B20-'OECD Americas 1995'!$B22+'OECD Americas 1995'!$B30)*Emissionsfaktorer!$B2*-1+('OECD Americas 1995'!$D22-'OECD Americas 1995'!$D30-'OECD Americas 1995'!$D12-'OECD Americas 1995'!$D13-'OECD Americas 1995'!$D14-'OECD Americas 1995'!$D20)*Emissionsfaktorer!$B4+('OECD Americas 1995'!$E12+'OECD Americas 1995'!$E13+'OECD Americas 1995'!$E14+'OECD Americas 1995'!$E20-'OECD Americas 1995'!$E22+'OECD Americas 1995'!$E30)*Emissionsfaktorer!$B5*-1)*0.041872</f>
        <v>5952.0411964320001</v>
      </c>
      <c r="C1" s="76">
        <f>(('OECD Americas 2000'!$B12+'OECD Americas 2000'!$B13+'OECD Americas 2000'!$B14+'OECD Americas 2000'!$B20-'OECD Americas 2000'!$B22+'OECD Americas 2000'!$B30)*Emissionsfaktorer!$B2*-1+('OECD Americas 2000'!$D22-'OECD Americas 2000'!$D30-'OECD Americas 2000'!$D12-'OECD Americas 2000'!$D13-'OECD Americas 2000'!$D14-'OECD Americas 2000'!$D20)*Emissionsfaktorer!$B4+('OECD Americas 2000'!$E12+'OECD Americas 2000'!$E13+'OECD Americas 2000'!$E14+'OECD Americas 2000'!$E20-'OECD Americas 2000'!$E22+'OECD Americas 2000'!$E30)*Emissionsfaktorer!$B5*-1)*0.041872</f>
        <v>6761.0487266560003</v>
      </c>
      <c r="D1" s="76">
        <f>(('OECD Americas 2005'!$B12+'OECD Americas 2005'!$B13+'OECD Americas 2005'!$B14+'OECD Americas 2005'!$B20-'OECD Americas 2005'!$B22+'OECD Americas 2005'!$B30)*Emissionsfaktorer!$B2*-1+('OECD Americas 2005'!$D22-'OECD Americas 2005'!$D30-'OECD Americas 2005'!$D12-'OECD Americas 2005'!$D13-'OECD Americas 2005'!$D14-'OECD Americas 2005'!$D20)*Emissionsfaktorer!$B4+('OECD Americas 2005'!$E12+'OECD Americas 2005'!$E13+'OECD Americas 2005'!$E14+'OECD Americas 2005'!$E20-'OECD Americas 2005'!$E22+'OECD Americas 2005'!$E30)*Emissionsfaktorer!$B5*-1)*0.041872</f>
        <v>6845.2333457119994</v>
      </c>
      <c r="E1" s="76">
        <f>(('OECD Americas 2010'!$B12+'OECD Americas 2010'!$B13+'OECD Americas 2010'!$B14+'OECD Americas 2010'!$B20-'OECD Americas 2010'!$B22+'OECD Americas 2010'!$B30)*Emissionsfaktorer!$B2*-1+('OECD Americas 2010'!$D22-'OECD Americas 2010'!$D30-'OECD Americas 2010'!$D12-'OECD Americas 2010'!$D13-'OECD Americas 2010'!$D14-'OECD Americas 2010'!$D20)*Emissionsfaktorer!$B4+('OECD Americas 2010'!$E12+'OECD Americas 2010'!$E13+'OECD Americas 2010'!$E14+'OECD Americas 2010'!$E20-'OECD Americas 2010'!$E22+'OECD Americas 2010'!$E30)*Emissionsfaktorer!$B5*-1)*0.041872</f>
        <v>6539.0804812480001</v>
      </c>
      <c r="F1" s="76">
        <f>(('OECD Americas 2015'!$B12+'OECD Americas 2015'!$B13+'OECD Americas 2015'!$B14+'OECD Americas 2015'!$B20-'OECD Americas 2015'!$B22+'OECD Americas 2015'!$B30)*Emissionsfaktorer!$B2*-1+('OECD Americas 2015'!$D22-'OECD Americas 2015'!$D30-'OECD Americas 2015'!$D12-'OECD Americas 2015'!$D13-'OECD Americas 2015'!$D14-'OECD Americas 2015'!$D20)*Emissionsfaktorer!$B4+('OECD Americas 2015'!$E12+'OECD Americas 2015'!$E13+'OECD Americas 2015'!$E14+'OECD Americas 2015'!$E20-'OECD Americas 2015'!$E22+'OECD Americas 2015'!$E30)*Emissionsfaktorer!$B5*-1)*0.041872</f>
        <v>6146.2934438560005</v>
      </c>
      <c r="G1" s="76">
        <f>(('OECD Americas 2018'!$B12+'OECD Americas 2018'!$B13+'OECD Americas 2018'!$B14+'OECD Americas 2018'!$B20-'OECD Americas 2018'!$B22+'OECD Americas 2018'!$B30)*Emissionsfaktorer!$B2*-1+('OECD Americas 2018'!$D22-'OECD Americas 2018'!$D30-'OECD Americas 2018'!$D12-'OECD Americas 2018'!$D13-'OECD Americas 2018'!$D14-'OECD Americas 2018'!$D20)*Emissionsfaktorer!$B4+('OECD Americas 2018'!$E12+'OECD Americas 2018'!$E13+'OECD Americas 2018'!$E14+'OECD Americas 2018'!$E20-'OECD Americas 2018'!$E22+'OECD Americas 2018'!$E30)*Emissionsfaktorer!$B5*-1)*0.041872</f>
        <v>6174.7890984800006</v>
      </c>
      <c r="H1" s="83">
        <f>'BL OECD Americas 2030'!AH8+'BL OECD Americas 2030'!AH16</f>
        <v>6180.7936612257345</v>
      </c>
      <c r="I1" s="83">
        <f>'BL OECD Americas 2050'!AH8+'BL OECD Americas 2050'!AH16</f>
        <v>6180.7936612257345</v>
      </c>
    </row>
    <row r="2" spans="1:11" ht="15.75" customHeight="1" x14ac:dyDescent="0.35">
      <c r="B2" s="76">
        <f>' KF Middle East'!B1+' KF Africa'!B1+' KF China'!B1+' KF Asia excluding China'!B1+' KF Non-OECD Americas'!B1+' KF Non-OECD Europe Eurasia '!B1+' KF OECD Europe'!B1+' KF OECD Asia Oceania'!B1+' KF OECD Americas'!B1</f>
        <v>20512.548212767997</v>
      </c>
      <c r="C2" s="76">
        <f>' KF Middle East'!C1+' KF Africa'!C1+' KF China'!C1+' KF Asia excluding China'!C1+' KF Non-OECD Americas'!C1+' KF Non-OECD Europe Eurasia '!C1+' KF OECD Europe'!C1+' KF OECD Asia Oceania'!C1+' KF OECD Americas'!C1</f>
        <v>22293.933162016001</v>
      </c>
      <c r="D2" s="76">
        <f>' KF Middle East'!D1+' KF Africa'!D1+' KF China'!D1+' KF Asia excluding China'!D1+' KF Non-OECD Americas'!D1+' KF Non-OECD Europe Eurasia '!D1+' KF OECD Europe'!D1+' KF OECD Asia Oceania'!D1+' KF OECD Americas'!D1</f>
        <v>25992.162037168</v>
      </c>
      <c r="E2" s="76">
        <f>' KF Middle East'!E1+' KF Africa'!E1+' KF China'!E1+' KF Asia excluding China'!E1+' KF Non-OECD Americas'!E1+' KF Non-OECD Europe Eurasia '!E1+' KF OECD Europe'!E1+' KF OECD Asia Oceania'!E1+' KF OECD Americas'!E1</f>
        <v>29123.978319039998</v>
      </c>
      <c r="F2" s="76">
        <f>' KF Middle East'!F1+' KF Africa'!F1+' KF China'!F1+' KF Asia excluding China'!F1+' KF Non-OECD Americas'!F1+' KF Non-OECD Europe Eurasia '!F1+' KF OECD Europe'!F1+' KF OECD Asia Oceania'!F1+' KF OECD Americas'!F1</f>
        <v>30670.019138096002</v>
      </c>
      <c r="G2" s="76">
        <f>' KF Middle East'!G1+' KF Africa'!G1+' KF China'!G1+' KF Asia excluding China'!G1+' KF Non-OECD Americas'!G1+' KF Non-OECD Europe Eurasia '!G1+' KF OECD Europe'!G1+' KF OECD Asia Oceania'!G1+' KF OECD Americas'!G1</f>
        <v>31652.588578768002</v>
      </c>
      <c r="H2" s="101">
        <f>' KF Middle East'!H1+' KF Africa'!H1+' KF China'!H1+' KF Asia excluding China'!H1+' KF Non-OECD Americas'!H1+' KF Non-OECD Europe Eurasia '!H1+' KF OECD Europe'!H1+' KF OECD Asia Oceania'!H1+' KF OECD Americas'!H1</f>
        <v>31634.759971648018</v>
      </c>
      <c r="I2" s="101">
        <f>' KF Middle East'!I1+' KF Africa'!I1+' KF China'!I1+' KF Asia excluding China'!I1+' KF Non-OECD Americas'!I1+' KF Non-OECD Europe Eurasia '!I1+' KF OECD Europe'!I1+' KF OECD Asia Oceania'!I1+' KF OECD Americas'!I1</f>
        <v>31634.759971648018</v>
      </c>
      <c r="J2" t="s">
        <v>129</v>
      </c>
    </row>
    <row r="3" spans="1:11" ht="15.75" customHeight="1" x14ac:dyDescent="0.35">
      <c r="B3" s="117" t="s">
        <v>130</v>
      </c>
      <c r="C3" s="117"/>
      <c r="D3" s="117"/>
      <c r="E3" s="117"/>
      <c r="F3" s="117"/>
      <c r="G3" s="117"/>
      <c r="H3" s="117"/>
      <c r="I3" s="117"/>
    </row>
    <row r="4" spans="1:11" ht="16.5" customHeight="1" x14ac:dyDescent="0.35">
      <c r="B4" s="41">
        <v>1995</v>
      </c>
      <c r="C4" s="114">
        <v>2000</v>
      </c>
      <c r="D4" s="114">
        <v>2005</v>
      </c>
      <c r="E4" s="114">
        <v>2010</v>
      </c>
      <c r="F4" s="114">
        <v>2015</v>
      </c>
      <c r="G4" s="114">
        <v>2018</v>
      </c>
      <c r="H4" s="35">
        <v>2030</v>
      </c>
      <c r="I4" s="35">
        <v>2050</v>
      </c>
    </row>
    <row r="5" spans="1:11" x14ac:dyDescent="0.35">
      <c r="A5" s="30" t="s">
        <v>131</v>
      </c>
      <c r="B5" s="7">
        <f>('OECD Americas 1995'!$L22-'OECD Americas 1995'!$L30)*0.041872*-1</f>
        <v>-62183.981584000001</v>
      </c>
      <c r="C5" s="7">
        <f>('OECD Americas 2000'!$L22-'OECD Americas 2000'!$L30)*0.041872*-1</f>
        <v>-69784.754512</v>
      </c>
      <c r="D5" s="7">
        <f>('OECD Americas 2005'!$L22-'OECD Americas 2005'!$L30)*0.041872*-1</f>
        <v>-71077.30128</v>
      </c>
      <c r="E5" s="7">
        <f>('OECD Americas 2010'!$L22-'OECD Americas 2010'!$L30)*0.041872*-1</f>
        <v>-70142.885727999994</v>
      </c>
      <c r="F5" s="7">
        <f>('OECD Americas 2015'!$L22-'OECD Americas 2015'!$L30)*0.041872*-1</f>
        <v>-70762.214479999995</v>
      </c>
      <c r="G5" s="7">
        <f>('OECD Americas 2018'!$L22-'OECD Americas 2018'!$L30)*0.041872*-1</f>
        <v>-74357.721248000002</v>
      </c>
      <c r="H5" s="79">
        <f>G5</f>
        <v>-74357.721248000002</v>
      </c>
      <c r="I5" s="79">
        <f>H5</f>
        <v>-74357.721248000002</v>
      </c>
      <c r="K5" s="34"/>
    </row>
    <row r="6" spans="1:11" x14ac:dyDescent="0.35">
      <c r="A6" s="31" t="s">
        <v>132</v>
      </c>
      <c r="B6" s="80"/>
      <c r="C6" s="80"/>
      <c r="D6" s="80"/>
      <c r="E6" s="80"/>
      <c r="F6" s="80"/>
      <c r="G6" s="80"/>
      <c r="H6" s="33">
        <f t="shared" ref="H6:I68" si="0">G6</f>
        <v>0</v>
      </c>
      <c r="I6" s="33"/>
    </row>
    <row r="7" spans="1:11" x14ac:dyDescent="0.35">
      <c r="A7" s="30" t="s">
        <v>133</v>
      </c>
      <c r="B7" s="40">
        <f>('OECD Americas 1995'!$L23/B$5*0.041872*-1)</f>
        <v>0.23851169317559726</v>
      </c>
      <c r="C7" s="40">
        <f>('OECD Americas 2000'!$L23/C$5*0.041872*-1)</f>
        <v>0.25322193828110889</v>
      </c>
      <c r="D7" s="40">
        <f>('OECD Americas 2005'!$L23/D$5*0.041872*-1)</f>
        <v>0.21538271212201543</v>
      </c>
      <c r="E7" s="40">
        <f>('OECD Americas 2010'!$L23/E$5*0.041872*-1)</f>
        <v>0.21173800452967872</v>
      </c>
      <c r="F7" s="40">
        <f>('OECD Americas 2015'!$L23/F$5*0.041872*-1)</f>
        <v>0.20966588065433309</v>
      </c>
      <c r="G7" s="40">
        <f>('OECD Americas 2018'!$L23/G$5*0.041872*-1)</f>
        <v>0.20854989824499362</v>
      </c>
      <c r="H7" s="77">
        <f t="shared" si="0"/>
        <v>0.20854989824499362</v>
      </c>
      <c r="I7" s="77">
        <f>H7</f>
        <v>0.20854989824499362</v>
      </c>
    </row>
    <row r="8" spans="1:11" x14ac:dyDescent="0.35">
      <c r="A8" s="30" t="s">
        <v>134</v>
      </c>
      <c r="B8" s="40">
        <f>'OECD Americas 1995'!$L24/B$5*0.041872*-1</f>
        <v>0.41090447290648352</v>
      </c>
      <c r="C8" s="40">
        <f>'OECD Americas 2000'!$L24/C$5*0.041872*-1</f>
        <v>0.40914701062809122</v>
      </c>
      <c r="D8" s="40">
        <f>'OECD Americas 2005'!$L24/D$5*0.041872*-1</f>
        <v>0.431243777577482</v>
      </c>
      <c r="E8" s="40">
        <f>'OECD Americas 2010'!$L24/E$5*0.041872*-1</f>
        <v>0.42660225146760877</v>
      </c>
      <c r="F8" s="40">
        <f>'OECD Americas 2015'!$L24/F$5*0.041872*-1</f>
        <v>0.4360593266724459</v>
      </c>
      <c r="G8" s="40">
        <f>'OECD Americas 2018'!$L24/G$5*0.041872*-1</f>
        <v>0.4330517379439745</v>
      </c>
      <c r="H8" s="77">
        <f t="shared" si="0"/>
        <v>0.4330517379439745</v>
      </c>
      <c r="I8" s="77">
        <f t="shared" si="0"/>
        <v>0.4330517379439745</v>
      </c>
    </row>
    <row r="9" spans="1:11" x14ac:dyDescent="0.35">
      <c r="A9" s="30" t="s">
        <v>135</v>
      </c>
      <c r="B9" s="40">
        <f>'OECD Americas 1995'!$L25/B$5*0.041872*-1</f>
        <v>0.20305205653233424</v>
      </c>
      <c r="C9" s="40">
        <f>'OECD Americas 2000'!$L25/C$5*0.041872*-1</f>
        <v>0.19188285759029797</v>
      </c>
      <c r="D9" s="40">
        <f>'OECD Americas 2005'!$L25/D$5*0.041872*-1</f>
        <v>0.1929095311312585</v>
      </c>
      <c r="E9" s="40">
        <f>'OECD Americas 2010'!$L25/E$5*0.041872*-1</f>
        <v>0.19479110826696214</v>
      </c>
      <c r="F9" s="40">
        <f>'OECD Americas 2015'!$L25/F$5*0.041872*-1</f>
        <v>0.18479258446180838</v>
      </c>
      <c r="G9" s="40">
        <f>'OECD Americas 2018'!$L25/G$5*0.041872*-1</f>
        <v>0.18556407862446603</v>
      </c>
      <c r="H9" s="89">
        <f>1-H7-H8-H10-H11-H12-H13</f>
        <v>0.18556464174016268</v>
      </c>
      <c r="I9" s="89">
        <f>1-I7-I8-I10-I11-I12-I13</f>
        <v>0.18556464174016268</v>
      </c>
    </row>
    <row r="10" spans="1:11" x14ac:dyDescent="0.35">
      <c r="A10" s="30" t="s">
        <v>136</v>
      </c>
      <c r="B10" s="40">
        <f>'OECD Americas 1995'!$L26/B$5*0.041872*-1</f>
        <v>0.13282095378281689</v>
      </c>
      <c r="C10" s="40">
        <f>'OECD Americas 2000'!$L26/C$5*0.041872*-1</f>
        <v>0.13204081791841096</v>
      </c>
      <c r="D10" s="40">
        <f>'OECD Americas 2005'!$L26/D$5*0.041872*-1</f>
        <v>0.13427884700351694</v>
      </c>
      <c r="E10" s="40">
        <f>'OECD Americas 2010'!$L26/E$5*0.041872*-1</f>
        <v>0.14023558149780263</v>
      </c>
      <c r="F10" s="40">
        <f>'OECD Americas 2015'!$L26/F$5*0.041872*-1</f>
        <v>0.14083546108943085</v>
      </c>
      <c r="G10" s="40">
        <f>'OECD Americas 2018'!$L26/G$5*0.041872*-1</f>
        <v>0.14087578005601875</v>
      </c>
      <c r="H10" s="88">
        <f t="shared" si="0"/>
        <v>0.14087578005601875</v>
      </c>
      <c r="I10" s="88">
        <f t="shared" ref="I10:I72" si="1">H10</f>
        <v>0.14087578005601875</v>
      </c>
    </row>
    <row r="11" spans="1:11" x14ac:dyDescent="0.35">
      <c r="A11" s="30" t="s">
        <v>137</v>
      </c>
      <c r="B11" s="40">
        <f>'OECD Americas 1995'!$L27/B$5*0.041872*-1</f>
        <v>1.4345190920189052E-2</v>
      </c>
      <c r="C11" s="40">
        <f>'OECD Americas 2000'!$L27/C$5*0.041872*-1</f>
        <v>1.2684347551122901E-2</v>
      </c>
      <c r="D11" s="40">
        <f>'OECD Americas 2005'!$L27/D$5*0.041872*-1</f>
        <v>1.7948264790956056E-2</v>
      </c>
      <c r="E11" s="40">
        <f>'OECD Americas 2010'!$L27/E$5*0.041872*-1</f>
        <v>1.8481662203448719E-2</v>
      </c>
      <c r="F11" s="40">
        <f>'OECD Americas 2015'!$L27/F$5*0.041872*-1</f>
        <v>1.8636480637172961E-2</v>
      </c>
      <c r="G11" s="40">
        <f>'OECD Americas 2018'!$L27/G$5*0.041872*-1</f>
        <v>1.8761888780144991E-2</v>
      </c>
      <c r="H11" s="88">
        <f t="shared" si="0"/>
        <v>1.8761888780144991E-2</v>
      </c>
      <c r="I11" s="88">
        <f t="shared" si="1"/>
        <v>1.8761888780144991E-2</v>
      </c>
    </row>
    <row r="12" spans="1:11" x14ac:dyDescent="0.35">
      <c r="A12" s="30" t="s">
        <v>138</v>
      </c>
      <c r="B12" s="40">
        <f>'OECD Americas 1995'!$L28/B$5*0.041872*-1</f>
        <v>9.2249866507036239E-5</v>
      </c>
      <c r="C12" s="40">
        <f>'OECD Americas 2000'!$L28/C$5*0.041872*-1</f>
        <v>1.1460314012603946E-4</v>
      </c>
      <c r="D12" s="40">
        <f>'OECD Americas 2005'!$L28/D$5*0.041872*-1</f>
        <v>7.9529187211706698E-5</v>
      </c>
      <c r="E12" s="40">
        <f>'OECD Americas 2010'!$L28/E$5*0.041872*-1</f>
        <v>1.7192243910184855E-4</v>
      </c>
      <c r="F12" s="40">
        <f>'OECD Americas 2015'!$L28/F$5*0.041872*-1</f>
        <v>1.3195539552594287E-4</v>
      </c>
      <c r="G12" s="40">
        <f>'OECD Americas 2018'!$L28/G$5*0.041872*-1</f>
        <v>1.4134203985282409E-4</v>
      </c>
      <c r="H12" s="88">
        <f t="shared" si="0"/>
        <v>1.4134203985282409E-4</v>
      </c>
      <c r="I12" s="88">
        <f t="shared" si="1"/>
        <v>1.4134203985282409E-4</v>
      </c>
    </row>
    <row r="13" spans="1:11" x14ac:dyDescent="0.35">
      <c r="A13" s="30" t="s">
        <v>139</v>
      </c>
      <c r="B13" s="40">
        <f>'OECD Americas 1995'!$L29/B$5*0.041872*-1</f>
        <v>2.733828160719468E-4</v>
      </c>
      <c r="C13" s="40">
        <f>'OECD Americas 2000'!$L29/C$5*0.041872*-1</f>
        <v>9.0782487440155854E-4</v>
      </c>
      <c r="D13" s="40">
        <f>'OECD Americas 2005'!$L29/D$5*0.041872*-1</f>
        <v>8.1567490824688213E-3</v>
      </c>
      <c r="E13" s="40">
        <f>'OECD Americas 2010'!$L29/E$5*0.041872*-1</f>
        <v>7.9794695953972553E-3</v>
      </c>
      <c r="F13" s="40">
        <f>'OECD Americas 2015'!$L29/F$5*0.041872*-1</f>
        <v>9.8783110892829151E-3</v>
      </c>
      <c r="G13" s="40">
        <f>'OECD Americas 2018'!$L29/G$5*0.041872*-1</f>
        <v>1.3054711194852672E-2</v>
      </c>
      <c r="H13" s="88">
        <f t="shared" si="0"/>
        <v>1.3054711194852672E-2</v>
      </c>
      <c r="I13" s="88">
        <f t="shared" si="1"/>
        <v>1.3054711194852672E-2</v>
      </c>
    </row>
    <row r="14" spans="1:11" x14ac:dyDescent="0.35">
      <c r="A14" s="31" t="s">
        <v>140</v>
      </c>
      <c r="B14" s="81"/>
      <c r="C14" s="81"/>
      <c r="D14" s="81"/>
      <c r="E14" s="81"/>
      <c r="F14" s="81"/>
      <c r="G14" s="81"/>
      <c r="H14" s="42">
        <f t="shared" si="0"/>
        <v>0</v>
      </c>
      <c r="I14" s="42">
        <f t="shared" si="1"/>
        <v>0</v>
      </c>
    </row>
    <row r="15" spans="1:11" x14ac:dyDescent="0.35">
      <c r="A15" s="30" t="s">
        <v>141</v>
      </c>
      <c r="B15" s="40">
        <f>'OECD Americas 1995'!$B23/'OECD Americas 1995'!$L23</f>
        <v>9.0581091038442973E-2</v>
      </c>
      <c r="C15" s="40">
        <f>'OECD Americas 2000'!$B23/'OECD Americas 2000'!$L23</f>
        <v>8.2919258337776192E-2</v>
      </c>
      <c r="D15" s="40">
        <f>'OECD Americas 2005'!$B23/'OECD Americas 2005'!$L23</f>
        <v>9.6879188206011865E-2</v>
      </c>
      <c r="E15" s="40">
        <f>'OECD Americas 2010'!$B23/'OECD Americas 2010'!$L23</f>
        <v>9.2021945429633101E-2</v>
      </c>
      <c r="F15" s="40">
        <f>'OECD Americas 2015'!$B23/'OECD Americas 2015'!$L23</f>
        <v>7.151565780858414E-2</v>
      </c>
      <c r="G15" s="40">
        <f>'OECD Americas 2018'!$B23/'OECD Americas 2018'!$L23</f>
        <v>6.0480626434453892E-2</v>
      </c>
      <c r="H15" s="77">
        <f t="shared" si="0"/>
        <v>6.0480626434453892E-2</v>
      </c>
      <c r="I15" s="77">
        <f t="shared" si="1"/>
        <v>6.0480626434453892E-2</v>
      </c>
    </row>
    <row r="16" spans="1:11" x14ac:dyDescent="0.35">
      <c r="A16" s="30" t="s">
        <v>142</v>
      </c>
      <c r="B16" s="40">
        <f>'OECD Americas 1995'!$C23/'OECD Americas 1995'!$L23</f>
        <v>0</v>
      </c>
      <c r="C16" s="40">
        <f>'OECD Americas 2000'!$C23/'OECD Americas 2000'!$L23</f>
        <v>0</v>
      </c>
      <c r="D16" s="40">
        <f>'OECD Americas 2005'!$C23/'OECD Americas 2005'!$L23</f>
        <v>0</v>
      </c>
      <c r="E16" s="40">
        <f>'OECD Americas 2010'!$C23/'OECD Americas 2010'!$L23</f>
        <v>1.6915798792211967E-4</v>
      </c>
      <c r="F16" s="40">
        <f>'OECD Americas 2015'!$C23/'OECD Americas 2015'!$L23</f>
        <v>0</v>
      </c>
      <c r="G16" s="40">
        <f>'OECD Americas 2018'!$C23/'OECD Americas 2018'!$L23</f>
        <v>0</v>
      </c>
      <c r="H16" s="77">
        <f t="shared" si="0"/>
        <v>0</v>
      </c>
      <c r="I16" s="77">
        <f t="shared" si="1"/>
        <v>0</v>
      </c>
    </row>
    <row r="17" spans="1:9" x14ac:dyDescent="0.35">
      <c r="A17" s="30" t="s">
        <v>143</v>
      </c>
      <c r="B17" s="40">
        <f>'OECD Americas 1995'!$D23/'OECD Americas 1995'!$L23</f>
        <v>0.11617021396730216</v>
      </c>
      <c r="C17" s="40">
        <f>'OECD Americas 2000'!$D23/'OECD Americas 2000'!$L23</f>
        <v>9.8681357739470413E-2</v>
      </c>
      <c r="D17" s="40">
        <f>'OECD Americas 2005'!$D23/'OECD Americas 2005'!$L23</f>
        <v>0.13816361696890128</v>
      </c>
      <c r="E17" s="40">
        <f>'OECD Americas 2010'!$D23/'OECD Americas 2010'!$L23</f>
        <v>0.12468071429779699</v>
      </c>
      <c r="F17" s="40">
        <f>'OECD Americas 2015'!$D23/'OECD Americas 2015'!$L23</f>
        <v>9.9009956876114788E-2</v>
      </c>
      <c r="G17" s="40">
        <f>'OECD Americas 2018'!$D23/'OECD Americas 2018'!$L23</f>
        <v>9.868772782503038E-2</v>
      </c>
      <c r="H17" s="77">
        <f t="shared" si="0"/>
        <v>9.868772782503038E-2</v>
      </c>
      <c r="I17" s="77">
        <f t="shared" si="1"/>
        <v>9.868772782503038E-2</v>
      </c>
    </row>
    <row r="18" spans="1:9" x14ac:dyDescent="0.35">
      <c r="A18" s="30" t="s">
        <v>241</v>
      </c>
      <c r="B18" s="40">
        <f>'OECD Americas 1995'!$E23/'OECD Americas 1995'!$L23</f>
        <v>0.39888428713796503</v>
      </c>
      <c r="C18" s="40">
        <f>'OECD Americas 2000'!$E23/'OECD Americas 2000'!$L23</f>
        <v>0.40051655707600259</v>
      </c>
      <c r="D18" s="40">
        <f>'OECD Americas 2005'!$E23/'OECD Americas 2005'!$L23</f>
        <v>0.34269303356035119</v>
      </c>
      <c r="E18" s="40">
        <f>'OECD Americas 2010'!$E23/'OECD Americas 2010'!$L23</f>
        <v>0.38116933278450965</v>
      </c>
      <c r="F18" s="40">
        <f>'OECD Americas 2015'!$E23/'OECD Americas 2015'!$L23</f>
        <v>0.42162346752161839</v>
      </c>
      <c r="G18" s="40">
        <f>'OECD Americas 2018'!$E23/'OECD Americas 2018'!$L23</f>
        <v>0.44232482786553262</v>
      </c>
      <c r="H18" s="77">
        <f t="shared" si="0"/>
        <v>0.44232482786553262</v>
      </c>
      <c r="I18" s="77">
        <f t="shared" si="1"/>
        <v>0.44232482786553262</v>
      </c>
    </row>
    <row r="19" spans="1:9" x14ac:dyDescent="0.35">
      <c r="A19" s="30" t="s">
        <v>145</v>
      </c>
      <c r="B19" s="40">
        <f>'OECD Americas 1995'!$H23/'OECD Americas 1995'!$L23</f>
        <v>2.8231600759994693E-6</v>
      </c>
      <c r="C19" s="40">
        <f>'OECD Americas 2000'!$H23/'OECD Americas 2000'!$L23</f>
        <v>2.6775664948758959E-4</v>
      </c>
      <c r="D19" s="40">
        <f>'OECD Americas 2005'!$H23/'OECD Americas 2005'!$L23</f>
        <v>3.0633735401110472E-4</v>
      </c>
      <c r="E19" s="40">
        <f>'OECD Americas 2010'!$H23/'OECD Americas 2010'!$L23</f>
        <v>1.4096498993509971E-5</v>
      </c>
      <c r="F19" s="40">
        <f>'OECD Americas 2015'!$H23/'OECD Americas 2015'!$L23</f>
        <v>3.1044681763789482E-5</v>
      </c>
      <c r="G19" s="40">
        <f>'OECD Americas 2018'!$H23/'OECD Americas 2018'!$L23</f>
        <v>4.3202376130687188E-5</v>
      </c>
      <c r="H19" s="77">
        <f t="shared" si="0"/>
        <v>4.3202376130687188E-5</v>
      </c>
      <c r="I19" s="77">
        <f t="shared" si="1"/>
        <v>4.3202376130687188E-5</v>
      </c>
    </row>
    <row r="20" spans="1:9" x14ac:dyDescent="0.35">
      <c r="A20" s="30" t="s">
        <v>146</v>
      </c>
      <c r="B20" s="40">
        <f>'OECD Americas 1995'!$I23/'OECD Americas 1995'!$L23</f>
        <v>5.9063331949984893E-2</v>
      </c>
      <c r="C20" s="40">
        <f>'OECD Americas 2000'!$I23/'OECD Americas 2000'!$L23</f>
        <v>0.10963094603400272</v>
      </c>
      <c r="D20" s="40">
        <f>'OECD Americas 2005'!$I23/'OECD Americas 2005'!$L23</f>
        <v>0.11954268209294057</v>
      </c>
      <c r="E20" s="40">
        <f>'OECD Americas 2010'!$I23/'OECD Americas 2010'!$L23</f>
        <v>0.1046213962300323</v>
      </c>
      <c r="F20" s="40">
        <f>'OECD Americas 2015'!$I23/'OECD Americas 2015'!$L23</f>
        <v>0.11175803210584544</v>
      </c>
      <c r="G20" s="40">
        <f>'OECD Americas 2018'!$I23/'OECD Americas 2018'!$L23</f>
        <v>0.11641690292966113</v>
      </c>
      <c r="H20" s="77">
        <f t="shared" si="0"/>
        <v>0.11641690292966113</v>
      </c>
      <c r="I20" s="77">
        <f t="shared" si="1"/>
        <v>0.11641690292966113</v>
      </c>
    </row>
    <row r="21" spans="1:9" x14ac:dyDescent="0.35">
      <c r="A21" s="30" t="s">
        <v>147</v>
      </c>
      <c r="B21" s="40">
        <f>'OECD Americas 1995'!$J23/'OECD Americas 1995'!$L23</f>
        <v>0.31828589012825614</v>
      </c>
      <c r="C21" s="40">
        <f>'OECD Americas 2000'!$J23/'OECD Americas 2000'!$L23</f>
        <v>0.29619335347432024</v>
      </c>
      <c r="D21" s="40">
        <f>'OECD Americas 2005'!$J23/'OECD Americas 2005'!$L23</f>
        <v>0.29303629550614041</v>
      </c>
      <c r="E21" s="40">
        <f>'OECD Americas 2010'!$J23/'OECD Americas 2010'!$L23</f>
        <v>0.28131255321428372</v>
      </c>
      <c r="F21" s="40">
        <f>'OECD Americas 2015'!$J23/'OECD Americas 2015'!$L23</f>
        <v>0.28221591293942339</v>
      </c>
      <c r="G21" s="40">
        <f>'OECD Americas 2018'!$J23/'OECD Americas 2018'!$L23</f>
        <v>0.26711489131902255</v>
      </c>
      <c r="H21" s="89">
        <f>1-H15-H16-H17-H18-H19-H20-H22</f>
        <v>0.26711489131902266</v>
      </c>
      <c r="I21" s="89">
        <f>1-I15-I16-I17-I18-I19-I20-I22</f>
        <v>0.26711489131902266</v>
      </c>
    </row>
    <row r="22" spans="1:9" x14ac:dyDescent="0.35">
      <c r="A22" s="30" t="s">
        <v>148</v>
      </c>
      <c r="B22" s="40">
        <f>'OECD Americas 1995'!$K23/'OECD Americas 1995'!$L23</f>
        <v>1.7009539457896801E-2</v>
      </c>
      <c r="C22" s="40">
        <f>'OECD Americas 2000'!$K23/'OECD Americas 2000'!$L23</f>
        <v>1.17931402168118E-2</v>
      </c>
      <c r="D22" s="40">
        <f>'OECD Americas 2005'!$K23/'OECD Americas 2005'!$L23</f>
        <v>9.3761111566970264E-3</v>
      </c>
      <c r="E22" s="40">
        <f>'OECD Americas 2010'!$K23/'OECD Americas 2010'!$L23</f>
        <v>1.6010803556828625E-2</v>
      </c>
      <c r="F22" s="40">
        <f>'OECD Americas 2015'!$K23/'OECD Americas 2015'!$L23</f>
        <v>1.3845928066650109E-2</v>
      </c>
      <c r="G22" s="40">
        <f>'OECD Americas 2018'!$K23/'OECD Americas 2018'!$L23</f>
        <v>1.4931821250168759E-2</v>
      </c>
      <c r="H22" s="77">
        <f t="shared" si="0"/>
        <v>1.4931821250168759E-2</v>
      </c>
      <c r="I22" s="77">
        <f t="shared" si="1"/>
        <v>1.4931821250168759E-2</v>
      </c>
    </row>
    <row r="23" spans="1:9" x14ac:dyDescent="0.35">
      <c r="A23" s="31" t="s">
        <v>149</v>
      </c>
      <c r="B23" s="81"/>
      <c r="C23" s="81"/>
      <c r="D23" s="81"/>
      <c r="E23" s="81"/>
      <c r="F23" s="81"/>
      <c r="G23" s="81"/>
      <c r="H23" s="42">
        <f t="shared" si="0"/>
        <v>0</v>
      </c>
      <c r="I23" s="42">
        <f t="shared" si="1"/>
        <v>0</v>
      </c>
    </row>
    <row r="24" spans="1:9" x14ac:dyDescent="0.35">
      <c r="A24" s="30" t="s">
        <v>141</v>
      </c>
      <c r="B24" s="40">
        <f>'OECD Americas 1995'!$B24/'OECD Americas 1995'!$L24</f>
        <v>0</v>
      </c>
      <c r="C24" s="40">
        <f>'OECD Americas 2000'!$B24/'OECD Americas 2000'!$L24</f>
        <v>0</v>
      </c>
      <c r="D24" s="40">
        <f>'OECD Americas 2005'!$B24/'OECD Americas 2005'!$L24</f>
        <v>0</v>
      </c>
      <c r="E24" s="40">
        <f>'OECD Americas 2010'!$B24/'OECD Americas 2010'!$L24</f>
        <v>0</v>
      </c>
      <c r="F24" s="40">
        <f>'OECD Americas 2015'!$B24/'OECD Americas 2015'!$L24</f>
        <v>0</v>
      </c>
      <c r="G24" s="40">
        <f>'OECD Americas 2018'!$B24/'OECD Americas 2018'!$L24</f>
        <v>0</v>
      </c>
      <c r="H24" s="77">
        <f t="shared" si="0"/>
        <v>0</v>
      </c>
      <c r="I24" s="77">
        <f t="shared" si="1"/>
        <v>0</v>
      </c>
    </row>
    <row r="25" spans="1:9" x14ac:dyDescent="0.35">
      <c r="A25" s="30" t="s">
        <v>143</v>
      </c>
      <c r="B25" s="40">
        <f>'OECD Americas 1995'!$D24/'OECD Americas 1995'!$L24</f>
        <v>0.95924671396007755</v>
      </c>
      <c r="C25" s="40">
        <f>'OECD Americas 2000'!$D24/'OECD Americas 2000'!$L24</f>
        <v>0.96457655379949636</v>
      </c>
      <c r="D25" s="40">
        <f>'OECD Americas 2005'!$D24/'OECD Americas 2005'!$L24</f>
        <v>0.96205493748907156</v>
      </c>
      <c r="E25" s="40">
        <f>'OECD Americas 2010'!$D24/'OECD Americas 2010'!$L24</f>
        <v>0.93788420070161882</v>
      </c>
      <c r="F25" s="40">
        <f>'OECD Americas 2015'!$D24/'OECD Americas 2015'!$L24</f>
        <v>0.92052379821555785</v>
      </c>
      <c r="G25" s="40">
        <f>'OECD Americas 2018'!$D24/'OECD Americas 2018'!$L24</f>
        <v>0.91326323618905947</v>
      </c>
      <c r="H25" s="89">
        <f>1-H24-H26-H27-H28-H29-H30</f>
        <v>0.91326193584628912</v>
      </c>
      <c r="I25" s="89">
        <f>1-I24-I26-I27-I28-I29-I30</f>
        <v>0.91326193584628912</v>
      </c>
    </row>
    <row r="26" spans="1:9" x14ac:dyDescent="0.35">
      <c r="A26" s="30" t="s">
        <v>241</v>
      </c>
      <c r="B26" s="40">
        <f>'OECD Americas 1995'!$E24/'OECD Americas 1995'!$L24</f>
        <v>3.5157062957919351E-2</v>
      </c>
      <c r="C26" s="40">
        <f>'OECD Americas 2000'!$E24/'OECD Americas 2000'!$L24</f>
        <v>2.925972256644371E-2</v>
      </c>
      <c r="D26" s="40">
        <f>'OECD Americas 2005'!$E24/'OECD Americas 2005'!$L24</f>
        <v>2.5285779856618291E-2</v>
      </c>
      <c r="E26" s="40">
        <f>'OECD Americas 2010'!$E24/'OECD Americas 2010'!$L24</f>
        <v>2.6303011475820457E-2</v>
      </c>
      <c r="F26" s="40">
        <f>'OECD Americas 2015'!$E24/'OECD Americas 2015'!$L24</f>
        <v>2.7454625640329747E-2</v>
      </c>
      <c r="G26" s="40">
        <f>'OECD Americas 2018'!$E24/'OECD Americas 2018'!$L24</f>
        <v>3.2751733356912879E-2</v>
      </c>
      <c r="H26" s="90">
        <f t="shared" si="0"/>
        <v>3.2751733356912879E-2</v>
      </c>
      <c r="I26" s="90">
        <f t="shared" si="1"/>
        <v>3.2751733356912879E-2</v>
      </c>
    </row>
    <row r="27" spans="1:9" x14ac:dyDescent="0.35">
      <c r="A27" s="30" t="s">
        <v>145</v>
      </c>
      <c r="B27" s="40">
        <f>'OECD Americas 1995'!$H24/'OECD Americas 1995'!$L24</f>
        <v>0</v>
      </c>
      <c r="C27" s="40">
        <f>'OECD Americas 2000'!$H24/'OECD Americas 2000'!$L24</f>
        <v>0</v>
      </c>
      <c r="D27" s="40">
        <f>'OECD Americas 2005'!$H24/'OECD Americas 2005'!$L24</f>
        <v>0</v>
      </c>
      <c r="E27" s="40">
        <f>'OECD Americas 2010'!$H24/'OECD Americas 2010'!$L24</f>
        <v>0</v>
      </c>
      <c r="F27" s="40">
        <f>'OECD Americas 2015'!$H24/'OECD Americas 2015'!$L24</f>
        <v>0</v>
      </c>
      <c r="G27" s="40">
        <f>'OECD Americas 2018'!$H24/'OECD Americas 2018'!$L24</f>
        <v>0</v>
      </c>
      <c r="H27" s="77">
        <f t="shared" si="0"/>
        <v>0</v>
      </c>
      <c r="I27" s="77">
        <f t="shared" si="1"/>
        <v>0</v>
      </c>
    </row>
    <row r="28" spans="1:9" x14ac:dyDescent="0.35">
      <c r="A28" s="30" t="s">
        <v>146</v>
      </c>
      <c r="B28" s="40">
        <f>'OECD Americas 1995'!$I24/'OECD Americas 1995'!$L24</f>
        <v>4.3409648445757601E-3</v>
      </c>
      <c r="C28" s="40">
        <f>'OECD Americas 2000'!$I24/'OECD Americas 2000'!$L24</f>
        <v>4.8702655695248374E-3</v>
      </c>
      <c r="D28" s="40">
        <f>'OECD Americas 2005'!$I24/'OECD Americas 2005'!$L24</f>
        <v>1.1271365186221367E-2</v>
      </c>
      <c r="E28" s="40">
        <f>'OECD Americas 2010'!$I24/'OECD Americas 2010'!$L24</f>
        <v>3.4309918517616736E-2</v>
      </c>
      <c r="F28" s="40">
        <f>'OECD Americas 2015'!$I24/'OECD Americas 2015'!$L24</f>
        <v>4.9944024154425483E-2</v>
      </c>
      <c r="G28" s="40">
        <f>'OECD Americas 2018'!$I24/'OECD Americas 2018'!$L24</f>
        <v>5.1474068564473598E-2</v>
      </c>
      <c r="H28" s="77">
        <f t="shared" si="0"/>
        <v>5.1474068564473598E-2</v>
      </c>
      <c r="I28" s="77">
        <f t="shared" si="1"/>
        <v>5.1474068564473598E-2</v>
      </c>
    </row>
    <row r="29" spans="1:9" x14ac:dyDescent="0.35">
      <c r="A29" s="30" t="s">
        <v>147</v>
      </c>
      <c r="B29" s="40">
        <f>'OECD Americas 1995'!$J24/'OECD Americas 1995'!$L24</f>
        <v>1.2552582374273434E-3</v>
      </c>
      <c r="C29" s="40">
        <f>'OECD Americas 2000'!$J24/'OECD Americas 2000'!$L24</f>
        <v>1.2934580645350517E-3</v>
      </c>
      <c r="D29" s="40">
        <f>'OECD Americas 2005'!$J24/'OECD Americas 2005'!$L24</f>
        <v>1.3879174680888266E-3</v>
      </c>
      <c r="E29" s="40">
        <f>'OECD Americas 2010'!$J24/'OECD Americas 2010'!$L24</f>
        <v>1.4580910761187911E-3</v>
      </c>
      <c r="F29" s="40">
        <f>'OECD Americas 2015'!$J24/'OECD Americas 2015'!$L24</f>
        <v>2.0775519896868745E-3</v>
      </c>
      <c r="G29" s="40">
        <f>'OECD Americas 2018'!$J24/'OECD Americas 2018'!$L24</f>
        <v>2.5122622323244409E-3</v>
      </c>
      <c r="H29" s="77">
        <f t="shared" si="0"/>
        <v>2.5122622323244409E-3</v>
      </c>
      <c r="I29" s="77">
        <f t="shared" si="1"/>
        <v>2.5122622323244409E-3</v>
      </c>
    </row>
    <row r="30" spans="1:9" x14ac:dyDescent="0.35">
      <c r="A30" s="30" t="s">
        <v>148</v>
      </c>
      <c r="B30" s="40">
        <f>'OECD Americas 1995'!$K24/'OECD Americas 1995'!$L24</f>
        <v>0</v>
      </c>
      <c r="C30" s="40">
        <f>'OECD Americas 2000'!$K24/'OECD Americas 2000'!$L24</f>
        <v>0</v>
      </c>
      <c r="D30" s="40">
        <f>'OECD Americas 2005'!$K24/'OECD Americas 2005'!$L24</f>
        <v>0</v>
      </c>
      <c r="E30" s="40">
        <f>'OECD Americas 2010'!$K24/'OECD Americas 2010'!$L24</f>
        <v>0</v>
      </c>
      <c r="F30" s="40">
        <f>'OECD Americas 2015'!$K24/'OECD Americas 2015'!$L24</f>
        <v>0</v>
      </c>
      <c r="G30" s="40">
        <f>'OECD Americas 2018'!$K24/'OECD Americas 2018'!$L24</f>
        <v>0</v>
      </c>
      <c r="H30" s="77">
        <f t="shared" si="0"/>
        <v>0</v>
      </c>
      <c r="I30" s="77">
        <f t="shared" si="1"/>
        <v>0</v>
      </c>
    </row>
    <row r="31" spans="1:9" x14ac:dyDescent="0.35">
      <c r="A31" s="31" t="s">
        <v>150</v>
      </c>
      <c r="B31" s="81"/>
      <c r="C31" s="81"/>
      <c r="D31" s="81"/>
      <c r="E31" s="81"/>
      <c r="F31" s="81"/>
      <c r="G31" s="81"/>
      <c r="H31" s="42">
        <f t="shared" si="0"/>
        <v>0</v>
      </c>
      <c r="I31" s="42">
        <f t="shared" si="1"/>
        <v>0</v>
      </c>
    </row>
    <row r="32" spans="1:9" x14ac:dyDescent="0.35">
      <c r="A32" s="30" t="s">
        <v>141</v>
      </c>
      <c r="B32" s="40">
        <f>'OECD Americas 1995'!$B$25/'OECD Americas 1995'!$L$25</f>
        <v>6.0254947737040376E-3</v>
      </c>
      <c r="C32" s="40">
        <f>'OECD Americas 2000'!$B$25/'OECD Americas 2000'!$L$25</f>
        <v>4.3402669201616029E-3</v>
      </c>
      <c r="D32" s="40">
        <f>'OECD Americas 2005'!$B$25/'OECD Americas 2005'!$L$25</f>
        <v>1.6795841960288521E-4</v>
      </c>
      <c r="E32" s="40">
        <f>'OECD Americas 2010'!$B$25/'OECD Americas 2010'!$L$25</f>
        <v>1.1951861579055435E-4</v>
      </c>
      <c r="F32" s="40">
        <f>'OECD Americas 2015'!$B$25/'OECD Americas 2015'!$L$25</f>
        <v>2.8819089765060375E-5</v>
      </c>
      <c r="G32" s="40">
        <f>'OECD Americas 2018'!$B$25/'OECD Americas 2018'!$L$25</f>
        <v>2.4276926905207704E-5</v>
      </c>
      <c r="H32" s="77">
        <f t="shared" si="0"/>
        <v>2.4276926905207704E-5</v>
      </c>
      <c r="I32" s="77">
        <f t="shared" si="1"/>
        <v>2.4276926905207704E-5</v>
      </c>
    </row>
    <row r="33" spans="1:9" x14ac:dyDescent="0.35">
      <c r="A33" s="30" t="s">
        <v>143</v>
      </c>
      <c r="B33" s="40">
        <f>'OECD Americas 1995'!$D$25/'OECD Americas 1995'!$L$25</f>
        <v>0.13662320263171857</v>
      </c>
      <c r="C33" s="40">
        <f>'OECD Americas 2000'!$D$25/'OECD Americas 2000'!$L$25</f>
        <v>0.13720621896458993</v>
      </c>
      <c r="D33" s="40">
        <f>'OECD Americas 2005'!$D$25/'OECD Americas 2005'!$L$25</f>
        <v>0.12115604253317942</v>
      </c>
      <c r="E33" s="40">
        <f>'OECD Americas 2010'!$D$25/'OECD Americas 2010'!$L$25</f>
        <v>9.5614892632443479E-2</v>
      </c>
      <c r="F33" s="40">
        <f>'OECD Americas 2015'!$D$25/'OECD Americas 2015'!$L$25</f>
        <v>7.8061307810293537E-2</v>
      </c>
      <c r="G33" s="40">
        <f>'OECD Americas 2018'!$D$25/'OECD Americas 2018'!$L$25</f>
        <v>7.2105507524330037E-2</v>
      </c>
      <c r="H33" s="77">
        <f t="shared" si="0"/>
        <v>7.2105507524330037E-2</v>
      </c>
      <c r="I33" s="77">
        <f t="shared" si="1"/>
        <v>7.2105507524330037E-2</v>
      </c>
    </row>
    <row r="34" spans="1:9" x14ac:dyDescent="0.35">
      <c r="A34" s="30" t="s">
        <v>241</v>
      </c>
      <c r="B34" s="40">
        <f>'OECD Americas 1995'!$E$25/'OECD Americas 1995'!$L$25</f>
        <v>0.42220247254204912</v>
      </c>
      <c r="C34" s="40">
        <f>'OECD Americas 2000'!$E$25/'OECD Americas 2000'!$L$25</f>
        <v>0.40906390323831443</v>
      </c>
      <c r="D34" s="40">
        <f>'OECD Americas 2005'!$E$25/'OECD Americas 2005'!$L$25</f>
        <v>0.38973682442542951</v>
      </c>
      <c r="E34" s="40">
        <f>'OECD Americas 2010'!$E$25/'OECD Americas 2010'!$L$25</f>
        <v>0.38413589573073376</v>
      </c>
      <c r="F34" s="40">
        <f>'OECD Americas 2015'!$E$25/'OECD Americas 2015'!$L$25</f>
        <v>0.39853599023993491</v>
      </c>
      <c r="G34" s="40">
        <f>'OECD Americas 2018'!$E$25/'OECD Americas 2018'!$L$25</f>
        <v>0.40890234909613965</v>
      </c>
      <c r="H34" s="77">
        <f t="shared" si="0"/>
        <v>0.40890234909613965</v>
      </c>
      <c r="I34" s="77">
        <f t="shared" si="1"/>
        <v>0.40890234909613965</v>
      </c>
    </row>
    <row r="35" spans="1:9" x14ac:dyDescent="0.35">
      <c r="A35" s="30" t="s">
        <v>145</v>
      </c>
      <c r="B35" s="40">
        <f>'OECD Americas 1995'!$H$25/'OECD Americas 1995'!$L$25</f>
        <v>4.6426486974054227E-5</v>
      </c>
      <c r="C35" s="40">
        <f>'OECD Americas 2000'!$H$25/'OECD Americas 2000'!$L$25</f>
        <v>5.2596029969105302E-3</v>
      </c>
      <c r="D35" s="40">
        <f>'OECD Americas 2005'!$H$25/'OECD Americas 2005'!$L$25</f>
        <v>5.1364738504009622E-3</v>
      </c>
      <c r="E35" s="40">
        <f>'OECD Americas 2010'!$H$25/'OECD Americas 2010'!$L$25</f>
        <v>1.2472840160706569E-3</v>
      </c>
      <c r="F35" s="40">
        <f>'OECD Americas 2015'!$H$25/'OECD Americas 2015'!$L$25</f>
        <v>1.9693044672791258E-3</v>
      </c>
      <c r="G35" s="40">
        <f>'OECD Americas 2018'!$H$25/'OECD Americas 2018'!$L$25</f>
        <v>5.8355663048393017E-3</v>
      </c>
      <c r="H35" s="77">
        <f t="shared" si="0"/>
        <v>5.8355663048393017E-3</v>
      </c>
      <c r="I35" s="77">
        <f t="shared" si="1"/>
        <v>5.8355663048393017E-3</v>
      </c>
    </row>
    <row r="36" spans="1:9" x14ac:dyDescent="0.35">
      <c r="A36" s="30" t="s">
        <v>146</v>
      </c>
      <c r="B36" s="40">
        <f>'OECD Americas 1995'!$I$25/'OECD Americas 1995'!$L$25</f>
        <v>9.0402318671406592E-2</v>
      </c>
      <c r="C36" s="40">
        <f>'OECD Americas 2000'!$I$25/'OECD Americas 2000'!$L$25</f>
        <v>7.4972795156912533E-2</v>
      </c>
      <c r="D36" s="40">
        <f>'OECD Americas 2005'!$I$25/'OECD Americas 2005'!$L$25</f>
        <v>7.3907812204164147E-2</v>
      </c>
      <c r="E36" s="40">
        <f>'OECD Americas 2010'!$I$25/'OECD Americas 2010'!$L$25</f>
        <v>7.8594215911911722E-2</v>
      </c>
      <c r="F36" s="40">
        <f>'OECD Americas 2015'!$I$25/'OECD Americas 2015'!$L$25</f>
        <v>6.9924718133291486E-2</v>
      </c>
      <c r="G36" s="40">
        <f>'OECD Americas 2018'!$I$25/'OECD Americas 2018'!$L$25</f>
        <v>6.6664441281700362E-2</v>
      </c>
      <c r="H36" s="77">
        <f t="shared" si="0"/>
        <v>6.6664441281700362E-2</v>
      </c>
      <c r="I36" s="77">
        <f t="shared" si="1"/>
        <v>6.6664441281700362E-2</v>
      </c>
    </row>
    <row r="37" spans="1:9" x14ac:dyDescent="0.35">
      <c r="A37" s="30" t="s">
        <v>147</v>
      </c>
      <c r="B37" s="40">
        <f>'OECD Americas 1995'!$J$25/'OECD Americas 1995'!$L$25</f>
        <v>0.34469676871650662</v>
      </c>
      <c r="C37" s="40">
        <f>'OECD Americas 2000'!$J$25/'OECD Americas 2000'!$L$25</f>
        <v>0.36916033971656931</v>
      </c>
      <c r="D37" s="40">
        <f>'OECD Americas 2005'!$J$25/'OECD Americas 2005'!$L$25</f>
        <v>0.40989183477777574</v>
      </c>
      <c r="E37" s="40">
        <f>'OECD Americas 2010'!$J$25/'OECD Americas 2010'!$L$25</f>
        <v>0.43858735125295351</v>
      </c>
      <c r="F37" s="40">
        <f>'OECD Americas 2015'!$J$25/'OECD Americas 2015'!$L$25</f>
        <v>0.45147665813835086</v>
      </c>
      <c r="G37" s="40">
        <f>'OECD Americas 2018'!$J$25/'OECD Americas 2018'!$L$25</f>
        <v>0.44646785886608542</v>
      </c>
      <c r="H37" s="89">
        <f>1-H38-H36-H35-H34-H33-H32</f>
        <v>0.44646785886608548</v>
      </c>
      <c r="I37" s="89">
        <f>1-I38-I36-I35-I34-I33-I32</f>
        <v>0.44646785886608548</v>
      </c>
    </row>
    <row r="38" spans="1:9" x14ac:dyDescent="0.35">
      <c r="A38" s="30" t="s">
        <v>148</v>
      </c>
      <c r="B38" s="40">
        <f>'OECD Americas 1995'!$K$25/'OECD Americas 1995'!$L$25</f>
        <v>0</v>
      </c>
      <c r="C38" s="40">
        <f>'OECD Americas 2000'!$K$25/'OECD Americas 2000'!$L$25</f>
        <v>0</v>
      </c>
      <c r="D38" s="40">
        <f>'OECD Americas 2005'!$K$25/'OECD Americas 2005'!$L$25</f>
        <v>0</v>
      </c>
      <c r="E38" s="40">
        <f>'OECD Americas 2010'!$K$25/'OECD Americas 2010'!$L$25</f>
        <v>0</v>
      </c>
      <c r="F38" s="40">
        <f>'OECD Americas 2015'!$K$25/'OECD Americas 2015'!$L$25</f>
        <v>0</v>
      </c>
      <c r="G38" s="40">
        <f>'OECD Americas 2018'!$K$25/'OECD Americas 2018'!$L$25</f>
        <v>0</v>
      </c>
      <c r="H38" s="88">
        <f t="shared" si="0"/>
        <v>0</v>
      </c>
      <c r="I38" s="88">
        <f t="shared" si="1"/>
        <v>0</v>
      </c>
    </row>
    <row r="39" spans="1:9" x14ac:dyDescent="0.35">
      <c r="A39" s="31" t="s">
        <v>151</v>
      </c>
      <c r="B39" s="81"/>
      <c r="C39" s="81"/>
      <c r="D39" s="81"/>
      <c r="E39" s="81"/>
      <c r="F39" s="81"/>
      <c r="G39" s="81"/>
      <c r="H39" s="42">
        <f t="shared" si="0"/>
        <v>0</v>
      </c>
      <c r="I39" s="42">
        <f t="shared" si="1"/>
        <v>0</v>
      </c>
    </row>
    <row r="40" spans="1:9" x14ac:dyDescent="0.35">
      <c r="A40" s="30" t="s">
        <v>141</v>
      </c>
      <c r="B40" s="40">
        <f>'OECD Americas 1995'!$B$26/'OECD Americas 1995'!$L$26</f>
        <v>5.5969014255875735E-3</v>
      </c>
      <c r="C40" s="40">
        <f>'OECD Americas 2000'!$B$26/'OECD Americas 2000'!$L$26</f>
        <v>4.1306540883932711E-3</v>
      </c>
      <c r="D40" s="40">
        <f>'OECD Americas 2005'!$B$26/'OECD Americas 2005'!$L$26</f>
        <v>9.2876540447579814E-3</v>
      </c>
      <c r="E40" s="40">
        <f>'OECD Americas 2010'!$B$26/'OECD Americas 2010'!$L$26</f>
        <v>6.4575449410222245E-3</v>
      </c>
      <c r="F40" s="40">
        <f>'OECD Americas 2015'!$B$26/'OECD Americas 2015'!$L$26</f>
        <v>2.8570588260009161E-3</v>
      </c>
      <c r="G40" s="40">
        <f>'OECD Americas 2018'!$B$26/'OECD Americas 2018'!$L$26</f>
        <v>1.7028284540236318E-3</v>
      </c>
      <c r="H40" s="77">
        <f t="shared" si="0"/>
        <v>1.7028284540236318E-3</v>
      </c>
      <c r="I40" s="77">
        <f t="shared" si="1"/>
        <v>1.7028284540236318E-3</v>
      </c>
    </row>
    <row r="41" spans="1:9" x14ac:dyDescent="0.35">
      <c r="A41" s="30" t="s">
        <v>143</v>
      </c>
      <c r="B41" s="40">
        <f>'OECD Americas 1995'!$D$26/'OECD Americas 1995'!$L$26</f>
        <v>9.6546549591385644E-2</v>
      </c>
      <c r="C41" s="40">
        <f>'OECD Americas 2000'!$D$26/'OECD Americas 2000'!$L$26</f>
        <v>9.0356354118384816E-2</v>
      </c>
      <c r="D41" s="40">
        <f>'OECD Americas 2005'!$D$26/'OECD Americas 2005'!$L$26</f>
        <v>9.0827728714513223E-2</v>
      </c>
      <c r="E41" s="40">
        <f>'OECD Americas 2010'!$D$26/'OECD Americas 2010'!$L$26</f>
        <v>7.9614675696729517E-2</v>
      </c>
      <c r="F41" s="40">
        <f>'OECD Americas 2015'!$D$26/'OECD Americas 2015'!$L$26</f>
        <v>6.4191389328885282E-2</v>
      </c>
      <c r="G41" s="40">
        <f>'OECD Americas 2018'!$D$26/'OECD Americas 2018'!$L$26</f>
        <v>5.861966966726892E-2</v>
      </c>
      <c r="H41" s="77">
        <f t="shared" si="0"/>
        <v>5.861966966726892E-2</v>
      </c>
      <c r="I41" s="77">
        <f t="shared" si="1"/>
        <v>5.861966966726892E-2</v>
      </c>
    </row>
    <row r="42" spans="1:9" x14ac:dyDescent="0.35">
      <c r="A42" s="30" t="s">
        <v>241</v>
      </c>
      <c r="B42" s="40">
        <f>'OECD Americas 1995'!$E$26/'OECD Americas 1995'!$L$26</f>
        <v>0.40587674649686695</v>
      </c>
      <c r="C42" s="40">
        <f>'OECD Americas 2000'!$E$26/'OECD Americas 2000'!$L$26</f>
        <v>0.38269215039397986</v>
      </c>
      <c r="D42" s="40">
        <f>'OECD Americas 2005'!$E$26/'OECD Americas 2005'!$L$26</f>
        <v>0.35087326761341947</v>
      </c>
      <c r="E42" s="40">
        <f>'OECD Americas 2010'!$E$26/'OECD Americas 2010'!$L$26</f>
        <v>0.34826897781788618</v>
      </c>
      <c r="F42" s="40">
        <f>'OECD Americas 2015'!$E$26/'OECD Americas 2015'!$L$26</f>
        <v>0.3563004449448966</v>
      </c>
      <c r="G42" s="40">
        <f>'OECD Americas 2018'!$E$26/'OECD Americas 2018'!$L$26</f>
        <v>0.38126169195593429</v>
      </c>
      <c r="H42" s="77">
        <f t="shared" si="0"/>
        <v>0.38126169195593429</v>
      </c>
      <c r="I42" s="77">
        <f t="shared" si="1"/>
        <v>0.38126169195593429</v>
      </c>
    </row>
    <row r="43" spans="1:9" x14ac:dyDescent="0.35">
      <c r="A43" s="30" t="s">
        <v>145</v>
      </c>
      <c r="B43" s="40">
        <f>'OECD Americas 1995'!$H$26/'OECD Americas 1995'!$L$26</f>
        <v>5.0696570883945413E-5</v>
      </c>
      <c r="C43" s="40">
        <f>'OECD Americas 2000'!$H$26/'OECD Americas 2000'!$L$26</f>
        <v>9.451881742418046E-4</v>
      </c>
      <c r="D43" s="40">
        <f>'OECD Americas 2005'!$H$26/'OECD Americas 2005'!$L$26</f>
        <v>1.6451914344753156E-3</v>
      </c>
      <c r="E43" s="40">
        <f>'OECD Americas 2010'!$H$26/'OECD Americas 2010'!$L$26</f>
        <v>7.9133658835598645E-3</v>
      </c>
      <c r="F43" s="40">
        <f>'OECD Americas 2015'!$H$26/'OECD Americas 2015'!$L$26</f>
        <v>9.0291462015823064E-3</v>
      </c>
      <c r="G43" s="40">
        <f>'OECD Americas 2018'!$H$26/'OECD Americas 2018'!$L$26</f>
        <v>7.5268215467758186E-3</v>
      </c>
      <c r="H43" s="77">
        <f t="shared" si="0"/>
        <v>7.5268215467758186E-3</v>
      </c>
      <c r="I43" s="77">
        <f t="shared" si="1"/>
        <v>7.5268215467758186E-3</v>
      </c>
    </row>
    <row r="44" spans="1:9" x14ac:dyDescent="0.35">
      <c r="A44" s="30" t="s">
        <v>146</v>
      </c>
      <c r="B44" s="40">
        <f>'OECD Americas 1995'!$I$26/'OECD Americas 1995'!$L$26</f>
        <v>7.1837040942550646E-3</v>
      </c>
      <c r="C44" s="40">
        <f>'OECD Americas 2000'!$I$26/'OECD Americas 2000'!$L$26</f>
        <v>5.6484081758777071E-3</v>
      </c>
      <c r="D44" s="40">
        <f>'OECD Americas 2005'!$I$26/'OECD Americas 2005'!$L$26</f>
        <v>9.0156490609247294E-3</v>
      </c>
      <c r="E44" s="40">
        <f>'OECD Americas 2010'!$I$26/'OECD Americas 2010'!$L$26</f>
        <v>7.1726850531459779E-3</v>
      </c>
      <c r="F44" s="40">
        <f>'OECD Americas 2015'!$I$26/'OECD Americas 2015'!$L$26</f>
        <v>9.2308209422411937E-3</v>
      </c>
      <c r="G44" s="40">
        <f>'OECD Americas 2018'!$I$26/'OECD Americas 2018'!$L$26</f>
        <v>9.6533584893593212E-3</v>
      </c>
      <c r="H44" s="77">
        <f t="shared" si="0"/>
        <v>9.6533584893593212E-3</v>
      </c>
      <c r="I44" s="77">
        <f t="shared" si="1"/>
        <v>9.6533584893593212E-3</v>
      </c>
    </row>
    <row r="45" spans="1:9" x14ac:dyDescent="0.35">
      <c r="A45" s="30" t="s">
        <v>147</v>
      </c>
      <c r="B45" s="40">
        <f>'OECD Americas 1995'!$J$26/'OECD Americas 1995'!$L$26</f>
        <v>0.47392675359438685</v>
      </c>
      <c r="C45" s="40">
        <f>'OECD Americas 2000'!$J$26/'OECD Americas 2000'!$L$26</f>
        <v>0.51115594696040212</v>
      </c>
      <c r="D45" s="40">
        <f>'OECD Americas 2005'!$J$26/'OECD Americas 2005'!$L$26</f>
        <v>0.53507767497159298</v>
      </c>
      <c r="E45" s="40">
        <f>'OECD Americas 2010'!$J$26/'OECD Americas 2010'!$L$26</f>
        <v>0.54422588211255796</v>
      </c>
      <c r="F45" s="40">
        <f>'OECD Americas 2015'!$J$26/'OECD Americas 2015'!$L$26</f>
        <v>0.5533492712399215</v>
      </c>
      <c r="G45" s="40">
        <f>'OECD Americas 2018'!$J$26/'OECD Americas 2018'!$L$26</f>
        <v>0.53589130678093466</v>
      </c>
      <c r="H45" s="89">
        <f>1-H46-H44-H43-H42-H41-H40</f>
        <v>0.53589530403082675</v>
      </c>
      <c r="I45" s="89">
        <f>1-I46-I44-I43-I42-I41-I40</f>
        <v>0.53589530403082675</v>
      </c>
    </row>
    <row r="46" spans="1:9" x14ac:dyDescent="0.35">
      <c r="A46" s="30" t="s">
        <v>148</v>
      </c>
      <c r="B46" s="40">
        <f>'OECD Americas 1995'!$K$26/'OECD Americas 1995'!$L$26</f>
        <v>1.0823717883722345E-2</v>
      </c>
      <c r="C46" s="40">
        <f>'OECD Americas 2000'!$K$26/'OECD Americas 2000'!$L$26</f>
        <v>5.0712980887204512E-3</v>
      </c>
      <c r="D46" s="40">
        <f>'OECD Americas 2005'!$K$26/'OECD Americas 2005'!$L$26</f>
        <v>3.2728341603162278E-3</v>
      </c>
      <c r="E46" s="40">
        <f>'OECD Americas 2010'!$K$26/'OECD Americas 2010'!$L$26</f>
        <v>5.929703429692788E-3</v>
      </c>
      <c r="F46" s="40">
        <f>'OECD Americas 2015'!$K$26/'OECD Americas 2015'!$L$26</f>
        <v>5.0376669593751441E-3</v>
      </c>
      <c r="G46" s="40">
        <f>'OECD Americas 2018'!$K$26/'OECD Americas 2018'!$L$26</f>
        <v>5.3403258558112022E-3</v>
      </c>
      <c r="H46" s="77">
        <f t="shared" si="0"/>
        <v>5.3403258558112022E-3</v>
      </c>
      <c r="I46" s="77">
        <f t="shared" si="1"/>
        <v>5.3403258558112022E-3</v>
      </c>
    </row>
    <row r="47" spans="1:9" x14ac:dyDescent="0.35">
      <c r="A47" s="31" t="s">
        <v>152</v>
      </c>
      <c r="B47" s="81"/>
      <c r="C47" s="81"/>
      <c r="D47" s="81"/>
      <c r="E47" s="81"/>
      <c r="F47" s="81"/>
      <c r="G47" s="81"/>
      <c r="H47" s="42">
        <f t="shared" si="0"/>
        <v>0</v>
      </c>
      <c r="I47" s="42">
        <f t="shared" si="1"/>
        <v>0</v>
      </c>
    </row>
    <row r="48" spans="1:9" x14ac:dyDescent="0.35">
      <c r="A48" s="30" t="s">
        <v>141</v>
      </c>
      <c r="B48" s="40">
        <f>'OECD Americas 1995'!$B$27/'OECD Americas 1995'!$L$27</f>
        <v>0</v>
      </c>
      <c r="C48" s="40">
        <f>'OECD Americas 2000'!$B$27/'OECD Americas 2000'!$L$27</f>
        <v>0</v>
      </c>
      <c r="D48" s="40">
        <f>'OECD Americas 2005'!$B$27/'OECD Americas 2005'!$L$27</f>
        <v>1.4113631141891226E-2</v>
      </c>
      <c r="E48" s="40">
        <f>'OECD Americas 2010'!$B$27/'OECD Americas 2010'!$L$27</f>
        <v>0</v>
      </c>
      <c r="F48" s="40">
        <f>'OECD Americas 2015'!$B$27/'OECD Americas 2015'!$L$27</f>
        <v>0</v>
      </c>
      <c r="G48" s="40">
        <f>'OECD Americas 2018'!$B$27/'OECD Americas 2018'!$L$27</f>
        <v>0</v>
      </c>
      <c r="H48" s="77">
        <f t="shared" si="0"/>
        <v>0</v>
      </c>
      <c r="I48" s="77">
        <f t="shared" si="1"/>
        <v>0</v>
      </c>
    </row>
    <row r="49" spans="1:9" x14ac:dyDescent="0.35">
      <c r="A49" s="30" t="s">
        <v>143</v>
      </c>
      <c r="B49" s="40">
        <f>'OECD Americas 1995'!$D$27/'OECD Americas 1995'!$L$27</f>
        <v>0.91189447990987604</v>
      </c>
      <c r="C49" s="40">
        <f>'OECD Americas 2000'!$D$27/'OECD Americas 2000'!$L$27</f>
        <v>0.90099337748344366</v>
      </c>
      <c r="D49" s="40">
        <f>'OECD Americas 2005'!$D$27/'OECD Americas 2005'!$L$27</f>
        <v>0.7378146847408672</v>
      </c>
      <c r="E49" s="40">
        <f>'OECD Americas 2010'!$D$27/'OECD Americas 2010'!$L$27</f>
        <v>0.73000645994832036</v>
      </c>
      <c r="F49" s="40">
        <f>'OECD Americas 2015'!$D$27/'OECD Americas 2015'!$L$27</f>
        <v>0.7303063978409271</v>
      </c>
      <c r="G49" s="40">
        <f>'OECD Americas 2018'!$D$27/'OECD Americas 2018'!$L$27</f>
        <v>0.70208295816075394</v>
      </c>
      <c r="H49" s="77">
        <f t="shared" si="0"/>
        <v>0.70208295816075394</v>
      </c>
      <c r="I49" s="77">
        <f t="shared" si="1"/>
        <v>0.70208295816075394</v>
      </c>
    </row>
    <row r="50" spans="1:9" x14ac:dyDescent="0.35">
      <c r="A50" s="30" t="s">
        <v>241</v>
      </c>
      <c r="B50" s="40">
        <f>'OECD Americas 1995'!$E$27/'OECD Americas 1995'!$L$27</f>
        <v>2.3094254600075102E-2</v>
      </c>
      <c r="C50" s="40">
        <f>'OECD Americas 2000'!$E$27/'OECD Americas 2000'!$L$27</f>
        <v>2.771996215704825E-2</v>
      </c>
      <c r="D50" s="40">
        <f>'OECD Americas 2005'!$E$27/'OECD Americas 2005'!$L$27</f>
        <v>7.4309909081957531E-2</v>
      </c>
      <c r="E50" s="40">
        <f>'OECD Americas 2010'!$E$27/'OECD Americas 2010'!$L$27</f>
        <v>6.6569767441860467E-2</v>
      </c>
      <c r="F50" s="40">
        <f>'OECD Americas 2015'!$E$27/'OECD Americas 2015'!$L$27</f>
        <v>7.2709953960946178E-2</v>
      </c>
      <c r="G50" s="40">
        <f>'OECD Americas 2018'!$E$27/'OECD Americas 2018'!$L$27</f>
        <v>7.3443784140704724E-2</v>
      </c>
      <c r="H50" s="77">
        <f t="shared" si="0"/>
        <v>7.3443784140704724E-2</v>
      </c>
      <c r="I50" s="77">
        <f t="shared" si="1"/>
        <v>7.3443784140704724E-2</v>
      </c>
    </row>
    <row r="51" spans="1:9" x14ac:dyDescent="0.35">
      <c r="A51" s="30" t="s">
        <v>145</v>
      </c>
      <c r="B51" s="40">
        <f>'OECD Americas 1995'!$H$27/'OECD Americas 1995'!$L$27</f>
        <v>0</v>
      </c>
      <c r="C51" s="40">
        <f>'OECD Americas 2000'!$H$27/'OECD Americas 2000'!$L$27</f>
        <v>0</v>
      </c>
      <c r="D51" s="40">
        <f>'OECD Americas 2005'!$H$27/'OECD Americas 2005'!$L$27</f>
        <v>0</v>
      </c>
      <c r="E51" s="40">
        <f>'OECD Americas 2010'!$H$27/'OECD Americas 2010'!$L$27</f>
        <v>0</v>
      </c>
      <c r="F51" s="40">
        <f>'OECD Americas 2015'!$H$27/'OECD Americas 2015'!$L$27</f>
        <v>0</v>
      </c>
      <c r="G51" s="40">
        <f>'OECD Americas 2018'!$H$27/'OECD Americas 2018'!$L$27</f>
        <v>0</v>
      </c>
      <c r="H51" s="77">
        <f t="shared" si="0"/>
        <v>0</v>
      </c>
      <c r="I51" s="77">
        <f t="shared" si="1"/>
        <v>0</v>
      </c>
    </row>
    <row r="52" spans="1:9" x14ac:dyDescent="0.35">
      <c r="A52" s="30" t="s">
        <v>146</v>
      </c>
      <c r="B52" s="40">
        <f>'OECD Americas 1995'!$I$27/'OECD Americas 1995'!$L$27</f>
        <v>0</v>
      </c>
      <c r="C52" s="40">
        <f>'OECD Americas 2000'!$I$27/'OECD Americas 2000'!$L$27</f>
        <v>0</v>
      </c>
      <c r="D52" s="40">
        <f>'OECD Americas 2005'!$I$27/'OECD Americas 2005'!$L$27</f>
        <v>6.2034332228312599E-3</v>
      </c>
      <c r="E52" s="40">
        <f>'OECD Americas 2010'!$I$27/'OECD Americas 2010'!$L$27</f>
        <v>4.3830749354005168E-2</v>
      </c>
      <c r="F52" s="40">
        <f>'OECD Americas 2015'!$I$27/'OECD Americas 2015'!$L$27</f>
        <v>3.7879028417209082E-2</v>
      </c>
      <c r="G52" s="40">
        <f>'OECD Americas 2018'!$I$27/'OECD Americas 2018'!$L$27</f>
        <v>4.3520019208836067E-2</v>
      </c>
      <c r="H52" s="77">
        <f t="shared" si="0"/>
        <v>4.3520019208836067E-2</v>
      </c>
      <c r="I52" s="77">
        <f t="shared" si="1"/>
        <v>4.3520019208836067E-2</v>
      </c>
    </row>
    <row r="53" spans="1:9" x14ac:dyDescent="0.35">
      <c r="A53" s="30" t="s">
        <v>147</v>
      </c>
      <c r="B53" s="40">
        <f>'OECD Americas 1995'!$J$27/'OECD Americas 1995'!$L$27</f>
        <v>6.4917386406308675E-2</v>
      </c>
      <c r="C53" s="40">
        <f>'OECD Americas 2000'!$J$27/'OECD Americas 2000'!$L$27</f>
        <v>7.1192052980132453E-2</v>
      </c>
      <c r="D53" s="40">
        <f>'OECD Americas 2005'!$J$27/'OECD Americas 2005'!$L$27</f>
        <v>0.16752551941444843</v>
      </c>
      <c r="E53" s="40">
        <f>'OECD Americas 2010'!$J$27/'OECD Americas 2010'!$L$27</f>
        <v>0.15694444444444444</v>
      </c>
      <c r="F53" s="40">
        <f>'OECD Americas 2015'!$J$27/'OECD Americas 2015'!$L$27</f>
        <v>0.15910461978091761</v>
      </c>
      <c r="G53" s="40">
        <f>'OECD Americas 2018'!$J$27/'OECD Americas 2018'!$L$27</f>
        <v>0.18095323848970526</v>
      </c>
      <c r="H53" s="89">
        <f>1-H54-H52-H51-H50-H49-H48</f>
        <v>0.18095323848970524</v>
      </c>
      <c r="I53" s="89">
        <f>1-I54-I52-I51-I50-I49-I48</f>
        <v>0.18095323848970524</v>
      </c>
    </row>
    <row r="54" spans="1:9" x14ac:dyDescent="0.35">
      <c r="A54" s="30" t="s">
        <v>148</v>
      </c>
      <c r="B54" s="40">
        <f>'OECD Americas 1995'!$K$27/'OECD Americas 1995'!$L$27</f>
        <v>9.3879083740142696E-5</v>
      </c>
      <c r="C54" s="40">
        <f>'OECD Americas 2000'!$K$27/'OECD Americas 2000'!$L$27</f>
        <v>4.7303689687795648E-5</v>
      </c>
      <c r="D54" s="40">
        <f>'OECD Americas 2005'!$K$27/'OECD Americas 2005'!$L$27</f>
        <v>3.2822398004398202E-5</v>
      </c>
      <c r="E54" s="40">
        <f>'OECD Americas 2010'!$K$27/'OECD Americas 2010'!$L$27</f>
        <v>0</v>
      </c>
      <c r="F54" s="40">
        <f>'OECD Americas 2015'!$K$27/'OECD Americas 2015'!$L$27</f>
        <v>0</v>
      </c>
      <c r="G54" s="40">
        <f>'OECD Americas 2018'!$K$27/'OECD Americas 2018'!$L$27</f>
        <v>0</v>
      </c>
      <c r="H54" s="77">
        <f t="shared" si="0"/>
        <v>0</v>
      </c>
      <c r="I54" s="77">
        <f t="shared" si="1"/>
        <v>0</v>
      </c>
    </row>
    <row r="55" spans="1:9" x14ac:dyDescent="0.35">
      <c r="A55" s="31" t="s">
        <v>153</v>
      </c>
      <c r="B55" s="81"/>
      <c r="C55" s="81"/>
      <c r="D55" s="81"/>
      <c r="E55" s="81"/>
      <c r="F55" s="81"/>
      <c r="G55" s="81"/>
      <c r="H55" s="42">
        <f t="shared" si="0"/>
        <v>0</v>
      </c>
      <c r="I55" s="42">
        <f t="shared" si="1"/>
        <v>0</v>
      </c>
    </row>
    <row r="56" spans="1:9" x14ac:dyDescent="0.35">
      <c r="A56" s="30" t="s">
        <v>141</v>
      </c>
      <c r="B56" s="40">
        <f>'OECD Americas 1995'!$B$28/'OECD Americas 1995'!$L$28</f>
        <v>0.22627737226277372</v>
      </c>
      <c r="C56" s="40">
        <f>'OECD Americas 2000'!$B$28/'OECD Americas 2000'!$L$28</f>
        <v>4.712041884816754E-2</v>
      </c>
      <c r="D56" s="40">
        <f>'OECD Americas 2005'!$B$28/'OECD Americas 2005'!$L$28</f>
        <v>8.8888888888888892E-2</v>
      </c>
      <c r="E56" s="40">
        <f>'OECD Americas 2010'!$B$28/'OECD Americas 2010'!$L$28</f>
        <v>1.7361111111111112E-2</v>
      </c>
      <c r="F56" s="40">
        <f>'OECD Americas 2015'!$B$28/'OECD Americas 2015'!$L$28</f>
        <v>0</v>
      </c>
      <c r="G56" s="40">
        <f>'OECD Americas 2018'!$B$28/'OECD Americas 2018'!$L$28</f>
        <v>3.9840637450199202E-3</v>
      </c>
      <c r="H56" s="77">
        <f t="shared" si="0"/>
        <v>3.9840637450199202E-3</v>
      </c>
      <c r="I56" s="77">
        <f t="shared" si="1"/>
        <v>3.9840637450199202E-3</v>
      </c>
    </row>
    <row r="57" spans="1:9" x14ac:dyDescent="0.35">
      <c r="A57" s="30" t="s">
        <v>143</v>
      </c>
      <c r="B57" s="40">
        <f>'OECD Americas 1995'!$D$28/'OECD Americas 1995'!$L$28</f>
        <v>0.7007299270072993</v>
      </c>
      <c r="C57" s="40">
        <f>'OECD Americas 2000'!$D$28/'OECD Americas 2000'!$L$28</f>
        <v>0.87958115183246077</v>
      </c>
      <c r="D57" s="40">
        <f>'OECD Americas 2005'!$D$28/'OECD Americas 2005'!$L$28</f>
        <v>0.72592592592592597</v>
      </c>
      <c r="E57" s="40">
        <f>'OECD Americas 2010'!$D$28/'OECD Americas 2010'!$L$28</f>
        <v>0.95486111111111116</v>
      </c>
      <c r="F57" s="40">
        <f>'OECD Americas 2015'!$D$28/'OECD Americas 2015'!$L$28</f>
        <v>0.94170403587443952</v>
      </c>
      <c r="G57" s="40">
        <f>'OECD Americas 2018'!$D$28/'OECD Americas 2018'!$L$28</f>
        <v>0.94422310756972117</v>
      </c>
      <c r="H57" s="77">
        <f t="shared" si="0"/>
        <v>0.94422310756972117</v>
      </c>
      <c r="I57" s="77">
        <f t="shared" si="1"/>
        <v>0.94422310756972117</v>
      </c>
    </row>
    <row r="58" spans="1:9" x14ac:dyDescent="0.35">
      <c r="A58" s="30" t="s">
        <v>241</v>
      </c>
      <c r="B58" s="40">
        <f>'OECD Americas 1995'!$E$28/'OECD Americas 1995'!$L$28</f>
        <v>0</v>
      </c>
      <c r="C58" s="40">
        <f>'OECD Americas 2000'!$E$28/'OECD Americas 2000'!$L$28</f>
        <v>0</v>
      </c>
      <c r="D58" s="40">
        <f>'OECD Americas 2005'!$E$28/'OECD Americas 2005'!$L$28</f>
        <v>0.1111111111111111</v>
      </c>
      <c r="E58" s="40">
        <f>'OECD Americas 2010'!$E$28/'OECD Americas 2010'!$L$28</f>
        <v>6.9444444444444441E-3</v>
      </c>
      <c r="F58" s="40">
        <f>'OECD Americas 2015'!$E$28/'OECD Americas 2015'!$L$28</f>
        <v>1.7937219730941704E-2</v>
      </c>
      <c r="G58" s="40">
        <f>'OECD Americas 2018'!$E$28/'OECD Americas 2018'!$L$28</f>
        <v>7.9681274900398405E-3</v>
      </c>
      <c r="H58" s="77">
        <f t="shared" si="0"/>
        <v>7.9681274900398405E-3</v>
      </c>
      <c r="I58" s="77">
        <f t="shared" si="1"/>
        <v>7.9681274900398405E-3</v>
      </c>
    </row>
    <row r="59" spans="1:9" x14ac:dyDescent="0.35">
      <c r="A59" s="30" t="s">
        <v>145</v>
      </c>
      <c r="B59" s="40">
        <f>'OECD Americas 1995'!$H$28/'OECD Americas 1995'!$L$28</f>
        <v>0</v>
      </c>
      <c r="C59" s="40">
        <f>'OECD Americas 2000'!$H$28/'OECD Americas 2000'!$L$28</f>
        <v>0</v>
      </c>
      <c r="D59" s="40">
        <f>'OECD Americas 2005'!$H$28/'OECD Americas 2005'!$L$28</f>
        <v>0</v>
      </c>
      <c r="E59" s="40">
        <f>'OECD Americas 2010'!$H$28/'OECD Americas 2010'!$L$28</f>
        <v>0</v>
      </c>
      <c r="F59" s="40">
        <f>'OECD Americas 2015'!$H$28/'OECD Americas 2015'!$L$28</f>
        <v>0</v>
      </c>
      <c r="G59" s="40">
        <f>'OECD Americas 2018'!$H$28/'OECD Americas 2018'!$L$28</f>
        <v>0</v>
      </c>
      <c r="H59" s="77">
        <f t="shared" si="0"/>
        <v>0</v>
      </c>
      <c r="I59" s="77">
        <f t="shared" si="1"/>
        <v>0</v>
      </c>
    </row>
    <row r="60" spans="1:9" x14ac:dyDescent="0.35">
      <c r="A60" s="30" t="s">
        <v>146</v>
      </c>
      <c r="B60" s="40">
        <f>'OECD Americas 1995'!$I$28/'OECD Americas 1995'!$L$28</f>
        <v>0</v>
      </c>
      <c r="C60" s="40">
        <f>'OECD Americas 2000'!$I$28/'OECD Americas 2000'!$L$28</f>
        <v>0</v>
      </c>
      <c r="D60" s="40">
        <f>'OECD Americas 2005'!$I$28/'OECD Americas 2005'!$L$28</f>
        <v>0</v>
      </c>
      <c r="E60" s="40">
        <f>'OECD Americas 2010'!$I$28/'OECD Americas 2010'!$L$28</f>
        <v>0</v>
      </c>
      <c r="F60" s="40">
        <f>'OECD Americas 2015'!$I$28/'OECD Americas 2015'!$L$28</f>
        <v>0</v>
      </c>
      <c r="G60" s="40">
        <f>'OECD Americas 2018'!$I$28/'OECD Americas 2018'!$L$28</f>
        <v>0</v>
      </c>
      <c r="H60" s="77">
        <f t="shared" si="0"/>
        <v>0</v>
      </c>
      <c r="I60" s="77">
        <f t="shared" si="1"/>
        <v>0</v>
      </c>
    </row>
    <row r="61" spans="1:9" x14ac:dyDescent="0.35">
      <c r="A61" s="30" t="s">
        <v>147</v>
      </c>
      <c r="B61" s="40">
        <f>'OECD Americas 1995'!$J$28/'OECD Americas 1995'!$L$28</f>
        <v>7.2992700729927001E-2</v>
      </c>
      <c r="C61" s="40">
        <f>'OECD Americas 2000'!$J$28/'OECD Americas 2000'!$L$28</f>
        <v>7.3298429319371722E-2</v>
      </c>
      <c r="D61" s="40">
        <f>'OECD Americas 2005'!$J$28/'OECD Americas 2005'!$L$28</f>
        <v>8.1481481481481488E-2</v>
      </c>
      <c r="E61" s="40">
        <f>'OECD Americas 2010'!$J$28/'OECD Americas 2010'!$L$28</f>
        <v>2.4305555555555556E-2</v>
      </c>
      <c r="F61" s="40">
        <f>'OECD Americas 2015'!$J$28/'OECD Americas 2015'!$L$28</f>
        <v>4.0358744394618833E-2</v>
      </c>
      <c r="G61" s="40">
        <f>'OECD Americas 2018'!$J$28/'OECD Americas 2018'!$L$28</f>
        <v>4.3824701195219126E-2</v>
      </c>
      <c r="H61" s="89">
        <f>1-H62-H60-H59-H58-H57-H56</f>
        <v>4.3824701195219085E-2</v>
      </c>
      <c r="I61" s="89">
        <f>1-I62-I60-I59-I58-I57-I56</f>
        <v>4.3824701195219085E-2</v>
      </c>
    </row>
    <row r="62" spans="1:9" x14ac:dyDescent="0.35">
      <c r="A62" s="30" t="s">
        <v>148</v>
      </c>
      <c r="B62" s="40">
        <f>'OECD Americas 1995'!$K$28/'OECD Americas 1995'!$L$28</f>
        <v>0</v>
      </c>
      <c r="C62" s="40">
        <f>'OECD Americas 2000'!$K$28/'OECD Americas 2000'!$L$28</f>
        <v>0</v>
      </c>
      <c r="D62" s="40">
        <f>'OECD Americas 2005'!$K$28/'OECD Americas 2005'!$L$28</f>
        <v>0</v>
      </c>
      <c r="E62" s="40">
        <f>'OECD Americas 2010'!$K$28/'OECD Americas 2010'!$L$28</f>
        <v>0</v>
      </c>
      <c r="F62" s="40">
        <f>'OECD Americas 2015'!$K$28/'OECD Americas 2015'!$L$28</f>
        <v>0</v>
      </c>
      <c r="G62" s="40">
        <f>'OECD Americas 2018'!$K$28/'OECD Americas 2018'!$L$28</f>
        <v>0</v>
      </c>
      <c r="H62" s="77">
        <f t="shared" si="0"/>
        <v>0</v>
      </c>
      <c r="I62" s="77">
        <f t="shared" si="1"/>
        <v>0</v>
      </c>
    </row>
    <row r="63" spans="1:9" x14ac:dyDescent="0.35">
      <c r="A63" s="31" t="s">
        <v>154</v>
      </c>
      <c r="B63" s="81"/>
      <c r="C63" s="81"/>
      <c r="D63" s="81"/>
      <c r="E63" s="81"/>
      <c r="F63" s="81"/>
      <c r="G63" s="81"/>
      <c r="H63" s="42">
        <f t="shared" si="0"/>
        <v>0</v>
      </c>
      <c r="I63" s="42">
        <f t="shared" si="1"/>
        <v>0</v>
      </c>
    </row>
    <row r="64" spans="1:9" x14ac:dyDescent="0.35">
      <c r="A64" s="30" t="s">
        <v>141</v>
      </c>
      <c r="B64" s="40">
        <f>'OECD Americas 1995'!$B$29/'OECD Americas 1995'!$L$29</f>
        <v>0</v>
      </c>
      <c r="C64" s="40">
        <f>'OECD Americas 2000'!$B$29/'OECD Americas 2000'!$L$29</f>
        <v>0</v>
      </c>
      <c r="D64" s="40">
        <f>'OECD Americas 2005'!$B$29/'OECD Americas 2005'!$L$29</f>
        <v>0</v>
      </c>
      <c r="E64" s="40">
        <f>'OECD Americas 2010'!$B$29/'OECD Americas 2010'!$L$29</f>
        <v>0</v>
      </c>
      <c r="F64" s="40">
        <f>'OECD Americas 2015'!$B$29/'OECD Americas 2015'!$L$29</f>
        <v>0</v>
      </c>
      <c r="G64" s="40">
        <f>'OECD Americas 2018'!$B$29/'OECD Americas 2018'!$L$29</f>
        <v>0</v>
      </c>
      <c r="H64" s="77">
        <f t="shared" si="0"/>
        <v>0</v>
      </c>
      <c r="I64" s="77">
        <f t="shared" si="1"/>
        <v>0</v>
      </c>
    </row>
    <row r="65" spans="1:9" x14ac:dyDescent="0.35">
      <c r="A65" s="30" t="s">
        <v>143</v>
      </c>
      <c r="B65" s="40">
        <f>'OECD Americas 1995'!$D$29/'OECD Americas 1995'!$L$29</f>
        <v>0</v>
      </c>
      <c r="C65" s="40">
        <f>'OECD Americas 2000'!$D$29/'OECD Americas 2000'!$L$29</f>
        <v>0</v>
      </c>
      <c r="D65" s="40">
        <f>'OECD Americas 2005'!$D$29/'OECD Americas 2005'!$L$29</f>
        <v>0</v>
      </c>
      <c r="E65" s="40">
        <f>'OECD Americas 2010'!$D$29/'OECD Americas 2010'!$L$29</f>
        <v>0</v>
      </c>
      <c r="F65" s="40">
        <f>'OECD Americas 2015'!$D$29/'OECD Americas 2015'!$L$29</f>
        <v>0</v>
      </c>
      <c r="G65" s="40">
        <f>'OECD Americas 2018'!$D$29/'OECD Americas 2018'!$L$29</f>
        <v>0</v>
      </c>
      <c r="H65" s="77">
        <f t="shared" si="0"/>
        <v>0</v>
      </c>
      <c r="I65" s="77">
        <f t="shared" si="1"/>
        <v>0</v>
      </c>
    </row>
    <row r="66" spans="1:9" x14ac:dyDescent="0.35">
      <c r="A66" s="30" t="s">
        <v>241</v>
      </c>
      <c r="B66" s="40">
        <f>'OECD Americas 1995'!$E$29/'OECD Americas 1995'!$L$29</f>
        <v>0</v>
      </c>
      <c r="C66" s="40">
        <f>'OECD Americas 2000'!$E$29/'OECD Americas 2000'!$L$29</f>
        <v>0</v>
      </c>
      <c r="D66" s="40">
        <f>'OECD Americas 2005'!$E$29/'OECD Americas 2005'!$L$29</f>
        <v>0</v>
      </c>
      <c r="E66" s="40">
        <f>'OECD Americas 2010'!$E$29/'OECD Americas 2010'!$L$29</f>
        <v>0</v>
      </c>
      <c r="F66" s="40">
        <f>'OECD Americas 2015'!$E$29/'OECD Americas 2015'!$L$29</f>
        <v>0</v>
      </c>
      <c r="G66" s="40">
        <f>'OECD Americas 2018'!$E$29/'OECD Americas 2018'!$L$29</f>
        <v>0</v>
      </c>
      <c r="H66" s="77">
        <f t="shared" si="0"/>
        <v>0</v>
      </c>
      <c r="I66" s="77">
        <f t="shared" si="1"/>
        <v>0</v>
      </c>
    </row>
    <row r="67" spans="1:9" x14ac:dyDescent="0.35">
      <c r="A67" s="30" t="s">
        <v>145</v>
      </c>
      <c r="B67" s="40">
        <f>'OECD Americas 1995'!$H$29/'OECD Americas 1995'!$L$29</f>
        <v>1</v>
      </c>
      <c r="C67" s="40">
        <f>'OECD Americas 2000'!$H$29/'OECD Americas 2000'!$L$29</f>
        <v>0</v>
      </c>
      <c r="D67" s="40">
        <f>'OECD Americas 2005'!$H$29/'OECD Americas 2005'!$L$29</f>
        <v>0</v>
      </c>
      <c r="E67" s="40">
        <f>'OECD Americas 2010'!$H$29/'OECD Americas 2010'!$L$29</f>
        <v>2.9924440787012794E-3</v>
      </c>
      <c r="F67" s="40">
        <f>'OECD Americas 2015'!$H$29/'OECD Americas 2015'!$L$29</f>
        <v>4.612435605606805E-3</v>
      </c>
      <c r="G67" s="40">
        <f>'OECD Americas 2018'!$H$29/'OECD Americas 2018'!$L$29</f>
        <v>4.3997756977095289E-3</v>
      </c>
      <c r="H67" s="77">
        <f t="shared" si="0"/>
        <v>4.3997756977095289E-3</v>
      </c>
      <c r="I67" s="77">
        <f t="shared" si="1"/>
        <v>4.3997756977095289E-3</v>
      </c>
    </row>
    <row r="68" spans="1:9" x14ac:dyDescent="0.35">
      <c r="A68" s="30" t="s">
        <v>146</v>
      </c>
      <c r="B68" s="40">
        <f>'OECD Americas 1995'!$I$29/'OECD Americas 1995'!$L$29</f>
        <v>0</v>
      </c>
      <c r="C68" s="40">
        <f>'OECD Americas 2000'!$I$29/'OECD Americas 2000'!$L$29</f>
        <v>0.98942498347653673</v>
      </c>
      <c r="D68" s="40">
        <f>'OECD Americas 2005'!$I$29/'OECD Americas 2005'!$L$29</f>
        <v>0</v>
      </c>
      <c r="E68" s="40">
        <f>'OECD Americas 2010'!$I$29/'OECD Americas 2010'!$L$29</f>
        <v>0</v>
      </c>
      <c r="F68" s="40">
        <f>'OECD Americas 2015'!$I$29/'OECD Americas 2015'!$L$29</f>
        <v>0</v>
      </c>
      <c r="G68" s="40">
        <f>'OECD Americas 2018'!$I$29/'OECD Americas 2018'!$L$29</f>
        <v>0</v>
      </c>
      <c r="H68" s="77">
        <f t="shared" si="0"/>
        <v>0</v>
      </c>
      <c r="I68" s="77">
        <f t="shared" si="1"/>
        <v>0</v>
      </c>
    </row>
    <row r="69" spans="1:9" x14ac:dyDescent="0.35">
      <c r="A69" s="30" t="s">
        <v>147</v>
      </c>
      <c r="B69" s="40">
        <f>'OECD Americas 1995'!$J$29/'OECD Americas 1995'!$L$29</f>
        <v>0</v>
      </c>
      <c r="C69" s="40">
        <f>'OECD Americas 2000'!$J$29/'OECD Americas 2000'!$L$29</f>
        <v>9.9140779907468599E-3</v>
      </c>
      <c r="D69" s="40">
        <f>'OECD Americas 2005'!$J$29/'OECD Americas 2005'!$L$29</f>
        <v>0.99992777697529978</v>
      </c>
      <c r="E69" s="40">
        <f>'OECD Americas 2010'!$J$29/'OECD Americas 2010'!$L$29</f>
        <v>0.99678312261539614</v>
      </c>
      <c r="F69" s="40">
        <f>'OECD Americas 2015'!$J$29/'OECD Americas 2015'!$L$29</f>
        <v>0.99424943093326945</v>
      </c>
      <c r="G69" s="40">
        <f>'OECD Americas 2018'!$J$29/'OECD Americas 2018'!$L$29</f>
        <v>0.99478065824095241</v>
      </c>
      <c r="H69" s="89">
        <f>1-H70-H68-H67-H66-H65-H64</f>
        <v>0.99473752318509245</v>
      </c>
      <c r="I69" s="89">
        <f>1-I70-I68-I67-I66-I65-I64</f>
        <v>0.99473752318509245</v>
      </c>
    </row>
    <row r="70" spans="1:9" x14ac:dyDescent="0.35">
      <c r="A70" s="30" t="s">
        <v>148</v>
      </c>
      <c r="B70" s="40">
        <f>'OECD Americas 1995'!$K$29/'OECD Americas 1995'!$L$29</f>
        <v>0</v>
      </c>
      <c r="C70" s="40">
        <f>'OECD Americas 2000'!$K$29/'OECD Americas 2000'!$L$29</f>
        <v>0</v>
      </c>
      <c r="D70" s="40">
        <f>'OECD Americas 2005'!$K$29/'OECD Americas 2005'!$L$29</f>
        <v>0</v>
      </c>
      <c r="E70" s="40">
        <f>'OECD Americas 2010'!$K$29/'OECD Americas 2010'!$L$29</f>
        <v>2.9924440787012791E-4</v>
      </c>
      <c r="F70" s="40">
        <f>'OECD Americas 2015'!$K$29/'OECD Americas 2015'!$L$29</f>
        <v>1.1980352222355337E-3</v>
      </c>
      <c r="G70" s="40">
        <f>'OECD Americas 2018'!$K$29/'OECD Americas 2018'!$L$29</f>
        <v>8.6270111719794677E-4</v>
      </c>
      <c r="H70" s="77">
        <f t="shared" ref="H70:I133" si="2">G70</f>
        <v>8.6270111719794677E-4</v>
      </c>
      <c r="I70" s="77">
        <f t="shared" si="1"/>
        <v>8.6270111719794677E-4</v>
      </c>
    </row>
    <row r="71" spans="1:9" x14ac:dyDescent="0.35">
      <c r="A71" s="38" t="s">
        <v>155</v>
      </c>
      <c r="B71" s="42"/>
      <c r="C71" s="42"/>
      <c r="D71" s="42"/>
      <c r="E71" s="42"/>
      <c r="F71" s="42"/>
      <c r="G71" s="42"/>
      <c r="H71" s="42">
        <f t="shared" si="2"/>
        <v>0</v>
      </c>
      <c r="I71" s="42">
        <f t="shared" si="1"/>
        <v>0</v>
      </c>
    </row>
    <row r="72" spans="1:9" x14ac:dyDescent="0.35">
      <c r="A72" s="30" t="s">
        <v>147</v>
      </c>
      <c r="B72" s="40">
        <f>'OECD Americas 1995'!$J21/IF('OECD Americas 1995'!$J22=0,1,'OECD Americas 1995'!$J22)*-1</f>
        <v>8.6073250151283753E-2</v>
      </c>
      <c r="C72" s="40">
        <f>'OECD Americas 2000'!$J21/IF('OECD Americas 2000'!$J22=0,1,'OECD Americas 2000'!$J22)*-1</f>
        <v>7.3935841814285988E-2</v>
      </c>
      <c r="D72" s="40">
        <f>'OECD Americas 2005'!$J21/IF('OECD Americas 2005'!$J22=0,1,'OECD Americas 2005'!$J22)*-1</f>
        <v>7.4758284590218674E-2</v>
      </c>
      <c r="E72" s="40">
        <f>'OECD Americas 2010'!$J21/IF('OECD Americas 2010'!$J22=0,1,'OECD Americas 2010'!$J22)*-1</f>
        <v>7.4109498765311796E-2</v>
      </c>
      <c r="F72" s="40">
        <f>'OECD Americas 2015'!$J21/IF('OECD Americas 2015'!$J22=0,1,'OECD Americas 2015'!$J22)*-1</f>
        <v>7.2319624090541629E-2</v>
      </c>
      <c r="G72" s="40">
        <f>'OECD Americas 2018'!$J21/IF('OECD Americas 2018'!$J22=0,1,'OECD Americas 2018'!$J22)*-1</f>
        <v>6.1838594579607005E-2</v>
      </c>
      <c r="H72" s="77">
        <f t="shared" si="2"/>
        <v>6.1838594579607005E-2</v>
      </c>
      <c r="I72" s="77">
        <f t="shared" si="1"/>
        <v>6.1838594579607005E-2</v>
      </c>
    </row>
    <row r="73" spans="1:9" x14ac:dyDescent="0.35">
      <c r="A73" s="30" t="s">
        <v>148</v>
      </c>
      <c r="B73" s="40">
        <f>'OECD Americas 1995'!$K21/IF('OECD Americas 1995'!$K22=0,1,'OECD Americas 1995'!$K22)*-1</f>
        <v>0.17983584466495162</v>
      </c>
      <c r="C73" s="40">
        <f>'OECD Americas 2000'!$K21/IF('OECD Americas 2000'!$K22=0,1,'OECD Americas 2000'!$K22)*-1</f>
        <v>0.19035116508040695</v>
      </c>
      <c r="D73" s="40">
        <f>'OECD Americas 2005'!$K21/IF('OECD Americas 2005'!$K22=0,1,'OECD Americas 2005'!$K22)*-1</f>
        <v>0.17149700598802395</v>
      </c>
      <c r="E73" s="40">
        <f>'OECD Americas 2010'!$K21/IF('OECD Americas 2010'!$K22=0,1,'OECD Americas 2010'!$K22)*-1</f>
        <v>0.20607773851590105</v>
      </c>
      <c r="F73" s="40">
        <f>'OECD Americas 2015'!$K21/IF('OECD Americas 2015'!$K22=0,1,'OECD Americas 2015'!$K22)*-1</f>
        <v>0.19575510204081634</v>
      </c>
      <c r="G73" s="40">
        <f>'OECD Americas 2018'!$K21/IF('OECD Americas 2018'!$K22=0,1,'OECD Americas 2018'!$K22)*-1</f>
        <v>0.19822828928260239</v>
      </c>
      <c r="H73" s="77">
        <f t="shared" si="2"/>
        <v>0.19822828928260239</v>
      </c>
      <c r="I73" s="77">
        <f t="shared" si="2"/>
        <v>0.19822828928260239</v>
      </c>
    </row>
    <row r="74" spans="1:9" x14ac:dyDescent="0.35">
      <c r="A74" s="38" t="s">
        <v>242</v>
      </c>
      <c r="B74" s="42"/>
      <c r="C74" s="42"/>
      <c r="D74" s="42"/>
      <c r="E74" s="42"/>
      <c r="F74" s="42"/>
      <c r="G74" s="42"/>
      <c r="H74" s="42">
        <f t="shared" si="2"/>
        <v>0</v>
      </c>
      <c r="I74" s="42">
        <f t="shared" si="2"/>
        <v>0</v>
      </c>
    </row>
    <row r="75" spans="1:9" x14ac:dyDescent="0.35">
      <c r="A75" s="30" t="s">
        <v>243</v>
      </c>
      <c r="B75" s="40">
        <f>'OECD Americas 1995'!$L20/B5*0.041872</f>
        <v>0.10934302607843123</v>
      </c>
      <c r="C75" s="40">
        <f>'OECD Americas 2000'!$L20/C5*0.041872</f>
        <v>0.10433745884637238</v>
      </c>
      <c r="D75" s="40">
        <f>'OECD Americas 2005'!$L20/D5*0.041872</f>
        <v>0.11256384426417829</v>
      </c>
      <c r="E75" s="40">
        <f>'OECD Americas 2010'!$L20/E5*0.041872</f>
        <v>0.11928134032643775</v>
      </c>
      <c r="F75" s="40">
        <f>'OECD Americas 2015'!$L20/F5*0.041872</f>
        <v>0.11731071353548743</v>
      </c>
      <c r="G75" s="40">
        <f>'OECD Americas 2018'!$L20/G5*0.041872</f>
        <v>0.1137127681979284</v>
      </c>
      <c r="H75" s="77">
        <f t="shared" si="2"/>
        <v>0.1137127681979284</v>
      </c>
      <c r="I75" s="77">
        <f t="shared" si="2"/>
        <v>0.1137127681979284</v>
      </c>
    </row>
    <row r="76" spans="1:9" x14ac:dyDescent="0.35">
      <c r="A76" s="39" t="s">
        <v>158</v>
      </c>
      <c r="B76" s="43"/>
      <c r="C76" s="43"/>
      <c r="D76" s="43"/>
      <c r="E76" s="43"/>
      <c r="F76" s="43"/>
      <c r="G76" s="43"/>
      <c r="H76" s="43">
        <f t="shared" si="2"/>
        <v>0</v>
      </c>
      <c r="I76" s="43">
        <f t="shared" si="2"/>
        <v>0</v>
      </c>
    </row>
    <row r="77" spans="1:9" x14ac:dyDescent="0.35">
      <c r="A77" s="30" t="s">
        <v>147</v>
      </c>
      <c r="B77" s="40">
        <f>'OECD Americas 1995'!$J20/'OECD Americas 1995'!$L20</f>
        <v>0.18745573790682638</v>
      </c>
      <c r="C77" s="40">
        <f>'OECD Americas 2000'!$J20/'OECD Americas 2000'!$L20</f>
        <v>0.19156253055074732</v>
      </c>
      <c r="D77" s="40">
        <f>'OECD Americas 2005'!$J20/'OECD Americas 2005'!$L20</f>
        <v>0.16699114488475789</v>
      </c>
      <c r="E77" s="40">
        <f>'OECD Americas 2010'!$J20/'OECD Americas 2010'!$L20</f>
        <v>0.17362887041643105</v>
      </c>
      <c r="F77" s="40">
        <f>'OECD Americas 2015'!$J20/'OECD Americas 2015'!$L20</f>
        <v>0.17611008267297518</v>
      </c>
      <c r="G77" s="40">
        <f>'OECD Americas 2018'!$J20/'OECD Americas 2018'!$L20</f>
        <v>0.18901626761086487</v>
      </c>
      <c r="H77" s="89">
        <f>1-H78-H79-H80-H81-H82-H83</f>
        <v>0.18901626761086493</v>
      </c>
      <c r="I77" s="89">
        <f>1-I78-I79-I80-I81-I82-I83</f>
        <v>0.18901626761086493</v>
      </c>
    </row>
    <row r="78" spans="1:9" x14ac:dyDescent="0.35">
      <c r="A78" s="30" t="s">
        <v>148</v>
      </c>
      <c r="B78" s="40">
        <f>'OECD Americas 1995'!$K20/'OECD Americas 1995'!$L20</f>
        <v>5.3206884872371218E-3</v>
      </c>
      <c r="C78" s="40">
        <f>'OECD Americas 2000'!$K20/'OECD Americas 2000'!$L20</f>
        <v>7.424191016211305E-3</v>
      </c>
      <c r="D78" s="40">
        <f>'OECD Americas 2005'!$K20/'OECD Americas 2005'!$L20</f>
        <v>1.041470409679918E-2</v>
      </c>
      <c r="E78" s="40">
        <f>'OECD Americas 2010'!$K20/'OECD Americas 2010'!$L20</f>
        <v>2.0248527402573355E-2</v>
      </c>
      <c r="F78" s="40">
        <f>'OECD Americas 2015'!$K20/'OECD Americas 2015'!$L20</f>
        <v>1.6806977013987319E-2</v>
      </c>
      <c r="G78" s="40">
        <f>'OECD Americas 2018'!$K20/'OECD Americas 2018'!$L20</f>
        <v>1.8907074058484165E-2</v>
      </c>
      <c r="H78" s="77">
        <f t="shared" si="2"/>
        <v>1.8907074058484165E-2</v>
      </c>
      <c r="I78" s="77">
        <f t="shared" ref="I78:I137" si="3">H78</f>
        <v>1.8907074058484165E-2</v>
      </c>
    </row>
    <row r="79" spans="1:9" x14ac:dyDescent="0.35">
      <c r="A79" s="30" t="s">
        <v>141</v>
      </c>
      <c r="B79" s="40">
        <f>'OECD Americas 1995'!$B20/'OECD Americas 1995'!$L20</f>
        <v>6.5338547279613262E-3</v>
      </c>
      <c r="C79" s="40">
        <f>'OECD Americas 2000'!$B20/'OECD Americas 2000'!$L20</f>
        <v>1.0684854305283195E-2</v>
      </c>
      <c r="D79" s="40">
        <f>'OECD Americas 2005'!$B20/'OECD Americas 2005'!$L20</f>
        <v>1.343967845255291E-2</v>
      </c>
      <c r="E79" s="40">
        <f>'OECD Americas 2010'!$B20/'OECD Americas 2010'!$L20</f>
        <v>1.0624721620282558E-2</v>
      </c>
      <c r="F79" s="40">
        <f>'OECD Americas 2015'!$B20/'OECD Americas 2015'!$L20</f>
        <v>9.3820459922018054E-3</v>
      </c>
      <c r="G79" s="40">
        <f>'OECD Americas 2018'!$B20/'OECD Americas 2018'!$L20</f>
        <v>8.4581672320301095E-3</v>
      </c>
      <c r="H79" s="77">
        <f t="shared" si="2"/>
        <v>8.4581672320301095E-3</v>
      </c>
      <c r="I79" s="77">
        <f t="shared" si="3"/>
        <v>8.4581672320301095E-3</v>
      </c>
    </row>
    <row r="80" spans="1:9" x14ac:dyDescent="0.35">
      <c r="A80" s="30" t="s">
        <v>244</v>
      </c>
      <c r="B80" s="40">
        <f>'OECD Americas 1995'!$E20/'OECD Americas 1995'!$L20</f>
        <v>0.39130461557409857</v>
      </c>
      <c r="C80" s="40">
        <f>'OECD Americas 2000'!$E20/'OECD Americas 2000'!$L20</f>
        <v>0.40930237907654793</v>
      </c>
      <c r="D80" s="40">
        <f>'OECD Americas 2005'!$E20/'OECD Americas 2005'!$L20</f>
        <v>0.44626222026837487</v>
      </c>
      <c r="E80" s="40">
        <f>'OECD Americas 2010'!$E20/'OECD Americas 2010'!$L20</f>
        <v>0.45671289229645123</v>
      </c>
      <c r="F80" s="40">
        <f>'OECD Americas 2015'!$E20/'OECD Americas 2015'!$L20</f>
        <v>0.5156947505939441</v>
      </c>
      <c r="G80" s="40">
        <f>'OECD Americas 2018'!$E20/'OECD Americas 2018'!$L20</f>
        <v>0.52773912397553668</v>
      </c>
      <c r="H80" s="77">
        <f t="shared" si="2"/>
        <v>0.52773912397553668</v>
      </c>
      <c r="I80" s="77">
        <f t="shared" si="3"/>
        <v>0.52773912397553668</v>
      </c>
    </row>
    <row r="81" spans="1:9" x14ac:dyDescent="0.35">
      <c r="A81" s="30" t="s">
        <v>160</v>
      </c>
      <c r="B81" s="40">
        <f>'OECD Americas 1995'!$C20/'OECD Americas 1995'!$L20</f>
        <v>2.5864457924069341E-3</v>
      </c>
      <c r="C81" s="40">
        <f>'OECD Americas 2000'!$C20/'OECD Americas 2000'!$L20</f>
        <v>2.0127551167110429E-3</v>
      </c>
      <c r="D81" s="40">
        <f>'OECD Americas 2005'!$C20/'OECD Americas 2005'!$L20</f>
        <v>0</v>
      </c>
      <c r="E81" s="40">
        <f>'OECD Americas 2010'!$C20/'OECD Americas 2010'!$L20</f>
        <v>0</v>
      </c>
      <c r="F81" s="40">
        <f>'OECD Americas 2015'!$C20/'OECD Americas 2015'!$L20</f>
        <v>0</v>
      </c>
      <c r="G81" s="40">
        <f>'OECD Americas 2018'!$C20/'OECD Americas 2018'!$L20</f>
        <v>0</v>
      </c>
      <c r="H81" s="77">
        <f t="shared" si="2"/>
        <v>0</v>
      </c>
      <c r="I81" s="77">
        <f t="shared" si="3"/>
        <v>0</v>
      </c>
    </row>
    <row r="82" spans="1:9" x14ac:dyDescent="0.35">
      <c r="A82" s="30" t="s">
        <v>143</v>
      </c>
      <c r="B82" s="40">
        <f>'OECD Americas 1995'!$D20/'OECD Americas 1995'!$L20</f>
        <v>0.40680481571573729</v>
      </c>
      <c r="C82" s="40">
        <f>'OECD Americas 2000'!$D20/'OECD Americas 2000'!$L20</f>
        <v>0.37901328993449918</v>
      </c>
      <c r="D82" s="40">
        <f>'OECD Americas 2005'!$D20/'OECD Americas 2005'!$L20</f>
        <v>0.36289225229751515</v>
      </c>
      <c r="E82" s="40">
        <f>'OECD Americas 2010'!$D20/'OECD Americas 2010'!$L20</f>
        <v>0.33878498826426179</v>
      </c>
      <c r="F82" s="40">
        <f>'OECD Americas 2015'!$D20/'OECD Americas 2015'!$L20</f>
        <v>0.2812646594468628</v>
      </c>
      <c r="G82" s="40">
        <f>'OECD Americas 2018'!$D20/'OECD Americas 2018'!$L20</f>
        <v>0.25529006858642633</v>
      </c>
      <c r="H82" s="77">
        <f t="shared" si="2"/>
        <v>0.25529006858642633</v>
      </c>
      <c r="I82" s="77">
        <f t="shared" si="3"/>
        <v>0.25529006858642633</v>
      </c>
    </row>
    <row r="83" spans="1:9" x14ac:dyDescent="0.35">
      <c r="A83" s="30" t="s">
        <v>161</v>
      </c>
      <c r="B83" s="40">
        <f>'OECD Americas 1995'!$I20/'OECD Americas 1995'!$L20</f>
        <v>0</v>
      </c>
      <c r="C83" s="40">
        <f>'OECD Americas 2000'!$I20/'OECD Americas 2000'!$L20</f>
        <v>0</v>
      </c>
      <c r="D83" s="40">
        <f>'OECD Americas 2005'!$I20/'OECD Americas 2005'!$L20</f>
        <v>0</v>
      </c>
      <c r="E83" s="40">
        <f>'OECD Americas 2010'!$I20/'OECD Americas 2010'!$L20</f>
        <v>5.0045791899588126E-6</v>
      </c>
      <c r="F83" s="40">
        <f>'OECD Americas 2015'!$I20/'OECD Americas 2015'!$L20</f>
        <v>7.4652839077734786E-4</v>
      </c>
      <c r="G83" s="40">
        <f>'OECD Americas 2018'!$I20/'OECD Americas 2018'!$L20</f>
        <v>5.8929853665783539E-4</v>
      </c>
      <c r="H83" s="77">
        <f t="shared" si="2"/>
        <v>5.8929853665783539E-4</v>
      </c>
      <c r="I83" s="77">
        <f t="shared" si="3"/>
        <v>5.8929853665783539E-4</v>
      </c>
    </row>
    <row r="84" spans="1:9" x14ac:dyDescent="0.35">
      <c r="A84" s="32" t="s">
        <v>162</v>
      </c>
      <c r="B84" s="82"/>
      <c r="C84" s="82"/>
      <c r="D84" s="82"/>
      <c r="E84" s="82"/>
      <c r="F84" s="82"/>
      <c r="G84" s="82"/>
      <c r="H84" s="42">
        <f t="shared" si="2"/>
        <v>0</v>
      </c>
      <c r="I84" s="42">
        <f t="shared" si="3"/>
        <v>0</v>
      </c>
    </row>
    <row r="85" spans="1:9" x14ac:dyDescent="0.35">
      <c r="A85" s="30" t="s">
        <v>163</v>
      </c>
      <c r="B85" s="40">
        <f>'OECD Americas 1995'!$K13/IF(('OECD Americas 1995'!$K13+'OECD Americas 1995'!$K14)=0,1,('OECD Americas 1995'!$K13+'OECD Americas 1995'!$K14))</f>
        <v>0.82025988807739736</v>
      </c>
      <c r="C85" s="40">
        <f>'OECD Americas 2000'!$K13/IF(('OECD Americas 2000'!$K13+'OECD Americas 2000'!$K14)=0,1,('OECD Americas 2000'!$K13+'OECD Americas 2000'!$K14))</f>
        <v>0.99615966484347729</v>
      </c>
      <c r="D85" s="40">
        <f>'OECD Americas 2005'!$K13/IF(('OECD Americas 2005'!$K13+'OECD Americas 2005'!$K14)=0,1,('OECD Americas 2005'!$K13+'OECD Americas 2005'!$K14))</f>
        <v>0.99402847955902618</v>
      </c>
      <c r="E85" s="40">
        <f>'OECD Americas 2010'!$K13/IF(('OECD Americas 2010'!$K13+'OECD Americas 2010'!$K14)=0,1,('OECD Americas 2010'!$K13+'OECD Americas 2010'!$K14))</f>
        <v>0.99260890077056141</v>
      </c>
      <c r="F85" s="40">
        <f>'OECD Americas 2015'!$K13/IF(('OECD Americas 2015'!$K13+'OECD Americas 2015'!$K14)=0,1,('OECD Americas 2015'!$K13+'OECD Americas 2015'!$K14))</f>
        <v>0.99024159166271908</v>
      </c>
      <c r="G85" s="40">
        <f>'OECD Americas 2018'!$K13/IF(('OECD Americas 2018'!$K13+'OECD Americas 2018'!$K14)=0,1,('OECD Americas 2018'!$K13+'OECD Americas 2018'!$K14))</f>
        <v>0.99132704614348266</v>
      </c>
      <c r="H85" s="89">
        <f>1-H86</f>
        <v>0.99132704614348266</v>
      </c>
      <c r="I85" s="89">
        <f>1-I86</f>
        <v>0.99132704614348266</v>
      </c>
    </row>
    <row r="86" spans="1:9" x14ac:dyDescent="0.35">
      <c r="A86" s="30" t="s">
        <v>164</v>
      </c>
      <c r="B86" s="40">
        <f>'OECD Americas 1995'!$K14/IF(('OECD Americas 1995'!$K13+'OECD Americas 1995'!$K14)=0,1,('OECD Americas 1995'!$K13+'OECD Americas 1995'!$K14))</f>
        <v>0.17974011192260267</v>
      </c>
      <c r="C86" s="40">
        <f>'OECD Americas 2000'!$K14/IF(('OECD Americas 2000'!$K13+'OECD Americas 2000'!$K14)=0,1,('OECD Americas 2000'!$K13+'OECD Americas 2000'!$K14))</f>
        <v>3.8403351565227512E-3</v>
      </c>
      <c r="D86" s="40">
        <f>'OECD Americas 2005'!$K14/IF(('OECD Americas 2005'!$K13+'OECD Americas 2005'!$K14)=0,1,('OECD Americas 2005'!$K13+'OECD Americas 2005'!$K14))</f>
        <v>5.9715204409738175E-3</v>
      </c>
      <c r="E86" s="40">
        <f>'OECD Americas 2010'!$K14/IF(('OECD Americas 2010'!$K13+'OECD Americas 2010'!$K14)=0,1,('OECD Americas 2010'!$K13+'OECD Americas 2010'!$K14))</f>
        <v>7.3910992294385913E-3</v>
      </c>
      <c r="F86" s="40">
        <f>'OECD Americas 2015'!$K14/IF(('OECD Americas 2015'!$K13+'OECD Americas 2015'!$K14)=0,1,('OECD Americas 2015'!$K13+'OECD Americas 2015'!$K14))</f>
        <v>9.7584083372809095E-3</v>
      </c>
      <c r="G86" s="40">
        <f>'OECD Americas 2018'!$K14/IF(('OECD Americas 2018'!$K13+'OECD Americas 2018'!$K14)=0,1,('OECD Americas 2018'!$K13+'OECD Americas 2018'!$K14))</f>
        <v>8.6729538565173455E-3</v>
      </c>
      <c r="H86" s="77">
        <f t="shared" si="2"/>
        <v>8.6729538565173455E-3</v>
      </c>
      <c r="I86" s="77">
        <f t="shared" si="3"/>
        <v>8.6729538565173455E-3</v>
      </c>
    </row>
    <row r="87" spans="1:9" x14ac:dyDescent="0.35">
      <c r="A87" s="32" t="s">
        <v>165</v>
      </c>
      <c r="B87" s="82"/>
      <c r="C87" s="82"/>
      <c r="D87" s="82"/>
      <c r="E87" s="82"/>
      <c r="F87" s="82"/>
      <c r="G87" s="82"/>
      <c r="H87" s="42">
        <f t="shared" si="2"/>
        <v>0</v>
      </c>
      <c r="I87" s="42">
        <f t="shared" si="3"/>
        <v>0</v>
      </c>
    </row>
    <row r="88" spans="1:9" x14ac:dyDescent="0.35">
      <c r="A88" s="30" t="s">
        <v>166</v>
      </c>
      <c r="B88" s="40">
        <f>'OECD Americas 1995'!$J14/IF('OECD Americas 1995'!$K14=0,1,'OECD Americas 1995'!$K14)*-1</f>
        <v>0</v>
      </c>
      <c r="C88" s="40">
        <f>'OECD Americas 2000'!$J14/IF('OECD Americas 2000'!$K14=0,1,'OECD Americas 2000'!$K14)*-1</f>
        <v>0</v>
      </c>
      <c r="D88" s="40">
        <f>'OECD Americas 2005'!$J14/IF('OECD Americas 2005'!$K14=0,1,'OECD Americas 2005'!$K14)*-1</f>
        <v>0</v>
      </c>
      <c r="E88" s="40">
        <f>'OECD Americas 2010'!$J14/IF('OECD Americas 2010'!$K14=0,1,'OECD Americas 2010'!$K14)*-1</f>
        <v>0</v>
      </c>
      <c r="F88" s="40">
        <f>'OECD Americas 2015'!$J14/IF('OECD Americas 2015'!$K14=0,1,'OECD Americas 2015'!$K14)*-1</f>
        <v>0</v>
      </c>
      <c r="G88" s="40">
        <f>'OECD Americas 2018'!$J14/IF('OECD Americas 2018'!$K14=0,1,'OECD Americas 2018'!$K14)*-1</f>
        <v>0</v>
      </c>
      <c r="H88" s="77">
        <f t="shared" si="2"/>
        <v>0</v>
      </c>
      <c r="I88" s="77">
        <f t="shared" si="3"/>
        <v>0</v>
      </c>
    </row>
    <row r="89" spans="1:9" x14ac:dyDescent="0.35">
      <c r="A89" s="32" t="s">
        <v>167</v>
      </c>
      <c r="B89" s="82"/>
      <c r="C89" s="82"/>
      <c r="D89" s="82"/>
      <c r="E89" s="82"/>
      <c r="F89" s="82"/>
      <c r="G89" s="82"/>
      <c r="H89" s="42">
        <f t="shared" si="2"/>
        <v>0</v>
      </c>
      <c r="I89" s="42">
        <f t="shared" si="3"/>
        <v>0</v>
      </c>
    </row>
    <row r="90" spans="1:9" x14ac:dyDescent="0.35">
      <c r="A90" s="30" t="s">
        <v>168</v>
      </c>
      <c r="B90" s="34">
        <f>'OECD Americas 1995'!$J13/IF('OECD Americas 1995'!$K13=0,1,'OECD Americas 1995'!$K13)</f>
        <v>3.3034227567067531</v>
      </c>
      <c r="C90" s="34">
        <f>'OECD Americas 2000'!$J13/IF('OECD Americas 2000'!$K13=0,1,'OECD Americas 2000'!$K13)</f>
        <v>3.6492990654205606</v>
      </c>
      <c r="D90" s="34">
        <f>'OECD Americas 2005'!$J13/IF('OECD Americas 2005'!$K13=0,1,'OECD Americas 2005'!$K13)</f>
        <v>4.6266173752310538</v>
      </c>
      <c r="E90" s="34">
        <f>'OECD Americas 2010'!$J13/IF('OECD Americas 2010'!$K13=0,1,'OECD Americas 2010'!$K13)</f>
        <v>2.3625633713561469</v>
      </c>
      <c r="F90" s="34">
        <f>'OECD Americas 2015'!$J13/IF('OECD Americas 2015'!$K13=0,1,'OECD Americas 2015'!$K13)</f>
        <v>2.9186758515116722</v>
      </c>
      <c r="G90" s="34">
        <f>'OECD Americas 2018'!$J13/IF('OECD Americas 2018'!$K13=0,1,'OECD Americas 2018'!$K13)</f>
        <v>2.5260341459271212</v>
      </c>
      <c r="H90" s="78">
        <f t="shared" si="2"/>
        <v>2.5260341459271212</v>
      </c>
      <c r="I90" s="78">
        <f t="shared" si="3"/>
        <v>2.5260341459271212</v>
      </c>
    </row>
    <row r="91" spans="1:9" x14ac:dyDescent="0.35">
      <c r="A91" s="32" t="s">
        <v>169</v>
      </c>
      <c r="B91" s="82"/>
      <c r="C91" s="82"/>
      <c r="D91" s="82"/>
      <c r="E91" s="82"/>
      <c r="F91" s="82"/>
      <c r="G91" s="82"/>
      <c r="H91" s="33">
        <f t="shared" si="2"/>
        <v>0</v>
      </c>
      <c r="I91" s="33">
        <f t="shared" si="3"/>
        <v>0</v>
      </c>
    </row>
    <row r="92" spans="1:9" x14ac:dyDescent="0.35">
      <c r="A92" s="30" t="s">
        <v>170</v>
      </c>
      <c r="B92" s="40">
        <v>1</v>
      </c>
      <c r="C92" s="40">
        <v>1</v>
      </c>
      <c r="D92" s="40">
        <v>1</v>
      </c>
      <c r="E92" s="40">
        <v>1</v>
      </c>
      <c r="F92" s="40">
        <v>1</v>
      </c>
      <c r="G92" s="40">
        <v>1</v>
      </c>
      <c r="H92" s="77">
        <f t="shared" si="2"/>
        <v>1</v>
      </c>
      <c r="I92" s="77">
        <f t="shared" si="3"/>
        <v>1</v>
      </c>
    </row>
    <row r="93" spans="1:9" x14ac:dyDescent="0.35">
      <c r="A93" s="32" t="s">
        <v>171</v>
      </c>
      <c r="B93" s="82"/>
      <c r="C93" s="82"/>
      <c r="D93" s="82"/>
      <c r="E93" s="82"/>
      <c r="F93" s="82"/>
      <c r="G93" s="82"/>
      <c r="H93" s="42">
        <f t="shared" si="2"/>
        <v>0</v>
      </c>
      <c r="I93" s="42">
        <f t="shared" si="3"/>
        <v>0</v>
      </c>
    </row>
    <row r="94" spans="1:9" x14ac:dyDescent="0.35">
      <c r="A94" s="30" t="s">
        <v>172</v>
      </c>
      <c r="B94" s="40">
        <f>'OECD Americas 1995'!$G12/'OECD Americas 1995'!$J12*-1</f>
        <v>0.17546987245271956</v>
      </c>
      <c r="C94" s="40">
        <f>'OECD Americas 2000'!$G12/'OECD Americas 2000'!$J12*-1</f>
        <v>0.14695925055651743</v>
      </c>
      <c r="D94" s="40">
        <f>'OECD Americas 2005'!$G12/'OECD Americas 2005'!$J12*-1</f>
        <v>0.14216080583002172</v>
      </c>
      <c r="E94" s="40">
        <f>'OECD Americas 2010'!$G12/'OECD Americas 2010'!$J12*-1</f>
        <v>0.13595100102277136</v>
      </c>
      <c r="F94" s="40">
        <f>'OECD Americas 2015'!$G12/'OECD Americas 2015'!$J12*-1</f>
        <v>0.13795435885953128</v>
      </c>
      <c r="G94" s="40">
        <f>'OECD Americas 2018'!$G12/'OECD Americas 2018'!$J12*-1</f>
        <v>0.14288869556594291</v>
      </c>
      <c r="H94" s="77">
        <f t="shared" si="2"/>
        <v>0.14288869556594291</v>
      </c>
      <c r="I94" s="77">
        <f t="shared" si="3"/>
        <v>0.14288869556594291</v>
      </c>
    </row>
    <row r="95" spans="1:9" x14ac:dyDescent="0.35">
      <c r="A95" s="30" t="s">
        <v>145</v>
      </c>
      <c r="B95" s="40">
        <f>'OECD Americas 1995'!$H12/'OECD Americas 1995'!$J12*-1</f>
        <v>5.3426183844011141E-2</v>
      </c>
      <c r="C95" s="40">
        <f>'OECD Americas 2000'!$H12/'OECD Americas 2000'!$J12*-1</f>
        <v>4.7172582240910213E-2</v>
      </c>
      <c r="D95" s="40">
        <f>'OECD Americas 2005'!$H12/'OECD Americas 2005'!$J12*-1</f>
        <v>3.8216896978137418E-2</v>
      </c>
      <c r="E95" s="40">
        <f>'OECD Americas 2010'!$H12/'OECD Americas 2010'!$J12*-1</f>
        <v>5.0209844468217676E-2</v>
      </c>
      <c r="F95" s="40">
        <f>'OECD Americas 2015'!$H12/'OECD Americas 2015'!$J12*-1</f>
        <v>8.3132743693088526E-2</v>
      </c>
      <c r="G95" s="40">
        <f>'OECD Americas 2018'!$H12/'OECD Americas 2018'!$J12*-1</f>
        <v>0.10941577905891792</v>
      </c>
      <c r="H95" s="77">
        <f t="shared" si="2"/>
        <v>0.10941577905891792</v>
      </c>
      <c r="I95" s="77">
        <f t="shared" si="3"/>
        <v>0.10941577905891792</v>
      </c>
    </row>
    <row r="96" spans="1:9" x14ac:dyDescent="0.35">
      <c r="A96" s="30" t="s">
        <v>173</v>
      </c>
      <c r="B96" s="40">
        <f t="shared" ref="B96:G96" si="4">1-B94-B95</f>
        <v>0.7711039437032694</v>
      </c>
      <c r="C96" s="40">
        <f t="shared" si="4"/>
        <v>0.80586816720257237</v>
      </c>
      <c r="D96" s="40">
        <f t="shared" si="4"/>
        <v>0.81962229719184088</v>
      </c>
      <c r="E96" s="40">
        <f t="shared" si="4"/>
        <v>0.81383915450901101</v>
      </c>
      <c r="F96" s="40">
        <f t="shared" si="4"/>
        <v>0.77891289744738013</v>
      </c>
      <c r="G96" s="40">
        <f t="shared" si="4"/>
        <v>0.74769552537513917</v>
      </c>
      <c r="H96" s="89">
        <f>1-H95-H94</f>
        <v>0.74769552537513917</v>
      </c>
      <c r="I96" s="89">
        <f>1-I95-I94</f>
        <v>0.74769552537513917</v>
      </c>
    </row>
    <row r="97" spans="1:9" x14ac:dyDescent="0.35">
      <c r="A97" s="32" t="s">
        <v>174</v>
      </c>
      <c r="B97" s="82"/>
      <c r="C97" s="82"/>
      <c r="D97" s="82"/>
      <c r="E97" s="82"/>
      <c r="F97" s="82"/>
      <c r="G97" s="82"/>
      <c r="H97" s="42">
        <f t="shared" si="2"/>
        <v>0</v>
      </c>
      <c r="I97" s="42">
        <f t="shared" si="3"/>
        <v>0</v>
      </c>
    </row>
    <row r="98" spans="1:9" x14ac:dyDescent="0.35">
      <c r="A98" s="30" t="s">
        <v>145</v>
      </c>
      <c r="B98" s="40">
        <f>'OECD Americas 1995'!$H13/IF(('OECD Americas 1995'!$J13+'OECD Americas 1995'!$K13)=0,1,('OECD Americas 1995'!$J13+'OECD Americas 1995'!$K13))*-1</f>
        <v>0</v>
      </c>
      <c r="C98" s="40">
        <f>'OECD Americas 2000'!$H13/IF(('OECD Americas 2000'!$J13+'OECD Americas 2000'!$K13)=0,1,('OECD Americas 2000'!$J13+'OECD Americas 2000'!$K13))*-1</f>
        <v>0</v>
      </c>
      <c r="D98" s="40">
        <f>'OECD Americas 2005'!$H13/IF(('OECD Americas 2005'!$J13+'OECD Americas 2005'!$K13)=0,1,('OECD Americas 2005'!$J13+'OECD Americas 2005'!$K13))*-1</f>
        <v>0</v>
      </c>
      <c r="E98" s="40">
        <f>'OECD Americas 2010'!$H13/IF(('OECD Americas 2010'!$J13+'OECD Americas 2010'!$K13)=0,1,('OECD Americas 2010'!$J13+'OECD Americas 2010'!$K13))*-1</f>
        <v>0</v>
      </c>
      <c r="F98" s="40">
        <f>'OECD Americas 2015'!$H13/IF(('OECD Americas 2015'!$J13+'OECD Americas 2015'!$K13)=0,1,('OECD Americas 2015'!$J13+'OECD Americas 2015'!$K13))*-1</f>
        <v>0</v>
      </c>
      <c r="G98" s="40">
        <f>'OECD Americas 2018'!$H13/IF(('OECD Americas 2018'!$J13+'OECD Americas 2018'!$K13)=0,1,('OECD Americas 2018'!$J13+'OECD Americas 2018'!$K13))*-1</f>
        <v>0</v>
      </c>
      <c r="H98" s="77">
        <f t="shared" si="2"/>
        <v>0</v>
      </c>
      <c r="I98" s="77">
        <f t="shared" si="3"/>
        <v>0</v>
      </c>
    </row>
    <row r="99" spans="1:9" x14ac:dyDescent="0.35">
      <c r="A99" s="30" t="s">
        <v>173</v>
      </c>
      <c r="B99" s="40">
        <f t="shared" ref="B99:G99" si="5">1-B98</f>
        <v>1</v>
      </c>
      <c r="C99" s="40">
        <f t="shared" si="5"/>
        <v>1</v>
      </c>
      <c r="D99" s="40">
        <f t="shared" si="5"/>
        <v>1</v>
      </c>
      <c r="E99" s="40">
        <f t="shared" si="5"/>
        <v>1</v>
      </c>
      <c r="F99" s="40">
        <f t="shared" si="5"/>
        <v>1</v>
      </c>
      <c r="G99" s="40">
        <f t="shared" si="5"/>
        <v>1</v>
      </c>
      <c r="H99" s="89">
        <f>1-H98</f>
        <v>1</v>
      </c>
      <c r="I99" s="89">
        <f>1-I98</f>
        <v>1</v>
      </c>
    </row>
    <row r="100" spans="1:9" x14ac:dyDescent="0.35">
      <c r="A100" s="32" t="s">
        <v>175</v>
      </c>
      <c r="B100" s="82"/>
      <c r="C100" s="82"/>
      <c r="D100" s="82"/>
      <c r="E100" s="82"/>
      <c r="F100" s="82"/>
      <c r="G100" s="82"/>
      <c r="H100" s="42">
        <f t="shared" si="2"/>
        <v>0</v>
      </c>
      <c r="I100" s="42">
        <f t="shared" si="3"/>
        <v>0</v>
      </c>
    </row>
    <row r="101" spans="1:9" x14ac:dyDescent="0.35">
      <c r="A101" s="30" t="s">
        <v>145</v>
      </c>
      <c r="B101" s="40">
        <f>'OECD Americas 1995'!$H14/IF('OECD Americas 1995'!$K14=0,1,'OECD Americas 1995'!$K14)*-1</f>
        <v>0</v>
      </c>
      <c r="C101" s="40">
        <f>'OECD Americas 2000'!$H14/IF('OECD Americas 2000'!$K14=0,1,'OECD Americas 2000'!$K14)*-1</f>
        <v>0</v>
      </c>
      <c r="D101" s="40">
        <f>'OECD Americas 2005'!$H14/IF('OECD Americas 2005'!$K14=0,1,'OECD Americas 2005'!$K14)*-1</f>
        <v>0</v>
      </c>
      <c r="E101" s="40">
        <f>'OECD Americas 2010'!$H14/IF('OECD Americas 2010'!$K14=0,1,'OECD Americas 2010'!$K14)*-1</f>
        <v>0</v>
      </c>
      <c r="F101" s="40">
        <f>'OECD Americas 2015'!$H14/IF('OECD Americas 2015'!$K14=0,1,'OECD Americas 2015'!$K14)*-1</f>
        <v>0</v>
      </c>
      <c r="G101" s="40">
        <f>'OECD Americas 2018'!$H14/IF('OECD Americas 2018'!$K14=0,1,'OECD Americas 2018'!$K14)*-1</f>
        <v>0</v>
      </c>
      <c r="H101" s="77">
        <f t="shared" si="2"/>
        <v>0</v>
      </c>
      <c r="I101" s="77">
        <f t="shared" si="3"/>
        <v>0</v>
      </c>
    </row>
    <row r="102" spans="1:9" x14ac:dyDescent="0.35">
      <c r="A102" s="30" t="s">
        <v>173</v>
      </c>
      <c r="B102" s="40">
        <f t="shared" ref="B102:G102" si="6">1-B101</f>
        <v>1</v>
      </c>
      <c r="C102" s="40">
        <f t="shared" si="6"/>
        <v>1</v>
      </c>
      <c r="D102" s="40">
        <f t="shared" si="6"/>
        <v>1</v>
      </c>
      <c r="E102" s="40">
        <f t="shared" si="6"/>
        <v>1</v>
      </c>
      <c r="F102" s="40">
        <f t="shared" si="6"/>
        <v>1</v>
      </c>
      <c r="G102" s="40">
        <f t="shared" si="6"/>
        <v>1</v>
      </c>
      <c r="H102" s="89">
        <f>1-H101</f>
        <v>1</v>
      </c>
      <c r="I102" s="89">
        <f>1-I101</f>
        <v>1</v>
      </c>
    </row>
    <row r="103" spans="1:9" x14ac:dyDescent="0.35">
      <c r="A103" s="31" t="s">
        <v>176</v>
      </c>
      <c r="B103" s="81"/>
      <c r="C103" s="81"/>
      <c r="D103" s="81"/>
      <c r="E103" s="81"/>
      <c r="F103" s="81"/>
      <c r="G103" s="81"/>
      <c r="H103" s="42">
        <f t="shared" si="2"/>
        <v>0</v>
      </c>
      <c r="I103" s="42">
        <f t="shared" si="3"/>
        <v>0</v>
      </c>
    </row>
    <row r="104" spans="1:9" x14ac:dyDescent="0.35">
      <c r="A104" s="30" t="s">
        <v>177</v>
      </c>
      <c r="B104" s="40">
        <f>('OECD Americas 1995'!$J12+'OECD Americas 1995'!$G12+'OECD Americas 1995'!$H12)/('OECD Americas 1995'!$B12+'OECD Americas 1995'!$D12+'OECD Americas 1995'!$E12+'OECD Americas 1995'!$F12+'OECD Americas 1995'!$I12)*-1</f>
        <v>0.3300941261232313</v>
      </c>
      <c r="C104" s="40">
        <f>('OECD Americas 2000'!$J12+'OECD Americas 2000'!$G12+'OECD Americas 2000'!$H12)/('OECD Americas 2000'!$B12+'OECD Americas 2000'!$D12+'OECD Americas 2000'!$E12+'OECD Americas 2000'!$F12+'OECD Americas 2000'!$I12)*-1</f>
        <v>0.33249566282273701</v>
      </c>
      <c r="D104" s="40">
        <f>('OECD Americas 2005'!$J12+'OECD Americas 2005'!$G12+'OECD Americas 2005'!$H12)/('OECD Americas 2005'!$B12+'OECD Americas 2005'!$D12+'OECD Americas 2005'!$E12+'OECD Americas 2005'!$F12+'OECD Americas 2005'!$I12)*-1</f>
        <v>0.35715787942740729</v>
      </c>
      <c r="E104" s="40">
        <f>('OECD Americas 2010'!$J12+'OECD Americas 2010'!$G12+'OECD Americas 2010'!$H12)/('OECD Americas 2010'!$B12+'OECD Americas 2010'!$D12+'OECD Americas 2010'!$E12+'OECD Americas 2010'!$F12+'OECD Americas 2010'!$I12)*-1</f>
        <v>0.36662422864841621</v>
      </c>
      <c r="F104" s="40">
        <f>('OECD Americas 2015'!$J12+'OECD Americas 2015'!$G12+'OECD Americas 2015'!$H12)/('OECD Americas 2015'!$B12+'OECD Americas 2015'!$D12+'OECD Americas 2015'!$E12+'OECD Americas 2015'!$F12+'OECD Americas 2015'!$I12)*-1</f>
        <v>0.3771919223179907</v>
      </c>
      <c r="G104" s="40">
        <f>('OECD Americas 2018'!$J12+'OECD Americas 2018'!$G12+'OECD Americas 2018'!$H12)/('OECD Americas 2018'!$B12+'OECD Americas 2018'!$D12+'OECD Americas 2018'!$E12+'OECD Americas 2018'!$F12+'OECD Americas 2018'!$I12)*-1</f>
        <v>0.38046186998051557</v>
      </c>
      <c r="H104" s="77">
        <f t="shared" si="2"/>
        <v>0.38046186998051557</v>
      </c>
      <c r="I104" s="77">
        <f t="shared" si="3"/>
        <v>0.38046186998051557</v>
      </c>
    </row>
    <row r="105" spans="1:9" x14ac:dyDescent="0.35">
      <c r="A105" s="30" t="s">
        <v>163</v>
      </c>
      <c r="B105" s="40">
        <f>('OECD Americas 1995'!$J13+'OECD Americas 1995'!$K13+'OECD Americas 1995'!$H13)/IF(('OECD Americas 1995'!$B13+'OECD Americas 1995'!$D13+'OECD Americas 1995'!$E13+'OECD Americas 1995'!$F13+'OECD Americas 1995'!$I13)=0,1,('OECD Americas 1995'!$B13+'OECD Americas 1995'!$D13+'OECD Americas 1995'!$E13+'OECD Americas 1995'!$F13+'OECD Americas 1995'!$I13))*-1</f>
        <v>0.36337362572985216</v>
      </c>
      <c r="C105" s="40">
        <f>('OECD Americas 2000'!$J13+'OECD Americas 2000'!$K13+'OECD Americas 2000'!$H13)/IF(('OECD Americas 2000'!$B13+'OECD Americas 2000'!$D13+'OECD Americas 2000'!$E13+'OECD Americas 2000'!$F13+'OECD Americas 2000'!$I13)=0,1,('OECD Americas 2000'!$B13+'OECD Americas 2000'!$D13+'OECD Americas 2000'!$E13+'OECD Americas 2000'!$F13+'OECD Americas 2000'!$I13))*-1</f>
        <v>0.44988300193301156</v>
      </c>
      <c r="D105" s="40">
        <f>('OECD Americas 2005'!$J13+'OECD Americas 2005'!$K13+'OECD Americas 2005'!$H13)/IF(('OECD Americas 2005'!$B13+'OECD Americas 2005'!$D13+'OECD Americas 2005'!$E13+'OECD Americas 2005'!$F13+'OECD Americas 2005'!$I13)=0,1,('OECD Americas 2005'!$B13+'OECD Americas 2005'!$D13+'OECD Americas 2005'!$E13+'OECD Americas 2005'!$F13+'OECD Americas 2005'!$I13))*-1</f>
        <v>0.4352094552733165</v>
      </c>
      <c r="E105" s="40">
        <f>('OECD Americas 2010'!$J13+'OECD Americas 2010'!$K13+'OECD Americas 2010'!$H13)/IF(('OECD Americas 2010'!$B13+'OECD Americas 2010'!$D13+'OECD Americas 2010'!$E13+'OECD Americas 2010'!$F13+'OECD Americas 2010'!$I13)=0,1,('OECD Americas 2010'!$B13+'OECD Americas 2010'!$D13+'OECD Americas 2010'!$E13+'OECD Americas 2010'!$F13+'OECD Americas 2010'!$I13))*-1</f>
        <v>0.60731658464003657</v>
      </c>
      <c r="F105" s="40">
        <f>('OECD Americas 2015'!$J13+'OECD Americas 2015'!$K13+'OECD Americas 2015'!$H13)/IF(('OECD Americas 2015'!$B13+'OECD Americas 2015'!$D13+'OECD Americas 2015'!$E13+'OECD Americas 2015'!$F13+'OECD Americas 2015'!$I13)=0,1,('OECD Americas 2015'!$B13+'OECD Americas 2015'!$D13+'OECD Americas 2015'!$E13+'OECD Americas 2015'!$F13+'OECD Americas 2015'!$I13))*-1</f>
        <v>0.56141457062572819</v>
      </c>
      <c r="G105" s="40">
        <f>('OECD Americas 2018'!$J13+'OECD Americas 2018'!$K13+'OECD Americas 2018'!$H13)/IF(('OECD Americas 2018'!$B13+'OECD Americas 2018'!$D13+'OECD Americas 2018'!$E13+'OECD Americas 2018'!$F13+'OECD Americas 2018'!$I13)=0,1,('OECD Americas 2018'!$B13+'OECD Americas 2018'!$D13+'OECD Americas 2018'!$E13+'OECD Americas 2018'!$F13+'OECD Americas 2018'!$I13))*-1</f>
        <v>0.60714912537295973</v>
      </c>
      <c r="H105" s="77">
        <f t="shared" si="2"/>
        <v>0.60714912537295973</v>
      </c>
      <c r="I105" s="77">
        <f t="shared" si="3"/>
        <v>0.60714912537295973</v>
      </c>
    </row>
    <row r="106" spans="1:9" x14ac:dyDescent="0.35">
      <c r="A106" s="30" t="s">
        <v>178</v>
      </c>
      <c r="B106" s="40">
        <f>('OECD Americas 1995'!$K14+'OECD Americas 1995'!$H14)/IF(('OECD Americas 1995'!$B14+'OECD Americas 1995'!$D14+'OECD Americas 1995'!$E14+'OECD Americas 1995'!$I14)=0,1,('OECD Americas 1995'!$B14+'OECD Americas 1995'!$D14+'OECD Americas 1995'!$E14+'OECD Americas 1995'!$I14))*-1</f>
        <v>0.84863412449619346</v>
      </c>
      <c r="C106" s="40">
        <f>('OECD Americas 2000'!$K14+'OECD Americas 2000'!$H14)/IF(('OECD Americas 2000'!$B14+'OECD Americas 2000'!$D14+'OECD Americas 2000'!$E14+'OECD Americas 2000'!$I14)=0,1,('OECD Americas 2000'!$B14+'OECD Americas 2000'!$D14+'OECD Americas 2000'!$E14+'OECD Americas 2000'!$I14))*-1</f>
        <v>0.52380952380952384</v>
      </c>
      <c r="D106" s="40">
        <f>('OECD Americas 2005'!$K14+'OECD Americas 2005'!$H14)/IF(('OECD Americas 2005'!$B14+'OECD Americas 2005'!$D14+'OECD Americas 2005'!$E14+'OECD Americas 2005'!$I14)=0,1,('OECD Americas 2005'!$B14+'OECD Americas 2005'!$D14+'OECD Americas 2005'!$E14+'OECD Americas 2005'!$I14))*-1</f>
        <v>0.54929577464788737</v>
      </c>
      <c r="E106" s="40">
        <f>('OECD Americas 2010'!$K14+'OECD Americas 2010'!$H14)/IF(('OECD Americas 2010'!$B14+'OECD Americas 2010'!$D14+'OECD Americas 2010'!$E14+'OECD Americas 2010'!$I14)=0,1,('OECD Americas 2010'!$B14+'OECD Americas 2010'!$D14+'OECD Americas 2010'!$E14+'OECD Americas 2010'!$I14))*-1</f>
        <v>0.54022988505747127</v>
      </c>
      <c r="F106" s="40">
        <f>('OECD Americas 2015'!$K14+'OECD Americas 2015'!$H14)/IF(('OECD Americas 2015'!$B14+'OECD Americas 2015'!$D14+'OECD Americas 2015'!$E14+'OECD Americas 2015'!$I14)=0,1,('OECD Americas 2015'!$B14+'OECD Americas 2015'!$D14+'OECD Americas 2015'!$E14+'OECD Americas 2015'!$I14))*-1</f>
        <v>0.54210526315789476</v>
      </c>
      <c r="G106" s="40">
        <f>('OECD Americas 2018'!$K14+'OECD Americas 2018'!$H14)/IF(('OECD Americas 2018'!$B14+'OECD Americas 2018'!$D14+'OECD Americas 2018'!$E14+'OECD Americas 2018'!$I14)=0,1,('OECD Americas 2018'!$B14+'OECD Americas 2018'!$D14+'OECD Americas 2018'!$E14+'OECD Americas 2018'!$I14))*-1</f>
        <v>0.54210526315789476</v>
      </c>
      <c r="H106" s="77">
        <f t="shared" si="2"/>
        <v>0.54210526315789476</v>
      </c>
      <c r="I106" s="77">
        <f t="shared" si="3"/>
        <v>0.54210526315789476</v>
      </c>
    </row>
    <row r="107" spans="1:9" x14ac:dyDescent="0.35">
      <c r="A107" s="30" t="s">
        <v>170</v>
      </c>
      <c r="B107" s="40">
        <f>'OECD Americas 1995'!$D16/IF('OECD Americas 1995'!$C16=0,1,'OECD Americas 1995'!$C16)*-1</f>
        <v>0.99900624374937885</v>
      </c>
      <c r="C107" s="40">
        <f>'OECD Americas 2000'!$D16/IF('OECD Americas 2000'!$C16=0,1,'OECD Americas 2000'!$C16)*-1</f>
        <v>1.0043135863641259</v>
      </c>
      <c r="D107" s="40">
        <f>'OECD Americas 2005'!$D16/IF('OECD Americas 2005'!$C16=0,1,'OECD Americas 2005'!$C16)*-1</f>
        <v>1.002413461004559</v>
      </c>
      <c r="E107" s="40">
        <f>'OECD Americas 2010'!$D16/IF('OECD Americas 2010'!$C16=0,1,'OECD Americas 2010'!$C16)*-1</f>
        <v>1.0140524618572462</v>
      </c>
      <c r="F107" s="40">
        <f>'OECD Americas 2015'!$D16/IF('OECD Americas 2015'!$C16=0,1,'OECD Americas 2015'!$C16)*-1</f>
        <v>0.97355664878543202</v>
      </c>
      <c r="G107" s="40">
        <f>'OECD Americas 2018'!$D16/IF('OECD Americas 2018'!$C16=0,1,'OECD Americas 2018'!$C16)*-1</f>
        <v>0.97484300203460938</v>
      </c>
      <c r="H107" s="77">
        <f t="shared" si="2"/>
        <v>0.97484300203460938</v>
      </c>
      <c r="I107" s="77">
        <f t="shared" si="3"/>
        <v>0.97484300203460938</v>
      </c>
    </row>
    <row r="108" spans="1:9" x14ac:dyDescent="0.35">
      <c r="A108" s="32" t="s">
        <v>179</v>
      </c>
      <c r="B108" s="82"/>
      <c r="C108" s="82"/>
      <c r="D108" s="82"/>
      <c r="E108" s="82"/>
      <c r="F108" s="82"/>
      <c r="G108" s="82"/>
      <c r="H108" s="42">
        <f t="shared" si="2"/>
        <v>0</v>
      </c>
      <c r="I108" s="42">
        <f t="shared" si="3"/>
        <v>0</v>
      </c>
    </row>
    <row r="109" spans="1:9" x14ac:dyDescent="0.35">
      <c r="A109" s="30" t="s">
        <v>141</v>
      </c>
      <c r="B109" s="40">
        <f>'OECD Americas 1995'!$B12/('OECD Americas 1995'!$L12-'OECD Americas 1995'!$J12-'OECD Americas 1995'!$G12-'OECD Americas 1995'!$H12)</f>
        <v>0.57057656819045732</v>
      </c>
      <c r="C109" s="40">
        <f>'OECD Americas 2000'!$B12/('OECD Americas 2000'!$L12-'OECD Americas 2000'!$J12-'OECD Americas 2000'!$G12-'OECD Americas 2000'!$H12)</f>
        <v>0.54628636026544664</v>
      </c>
      <c r="D109" s="40">
        <f>'OECD Americas 2005'!$B12/('OECD Americas 2005'!$L12-'OECD Americas 2005'!$J12-'OECD Americas 2005'!$G12-'OECD Americas 2005'!$H12)</f>
        <v>0.5447022362104541</v>
      </c>
      <c r="E109" s="40">
        <f>'OECD Americas 2010'!$B12/('OECD Americas 2010'!$L12-'OECD Americas 2010'!$J12-'OECD Americas 2010'!$G12-'OECD Americas 2010'!$H12)</f>
        <v>0.50908093348204309</v>
      </c>
      <c r="F109" s="40">
        <f>'OECD Americas 2015'!$B12/('OECD Americas 2015'!$L12-'OECD Americas 2015'!$J12-'OECD Americas 2015'!$G12-'OECD Americas 2015'!$H12)</f>
        <v>0.40882337327597013</v>
      </c>
      <c r="G109" s="40">
        <f>'OECD Americas 2018'!$B12/('OECD Americas 2018'!$L12-'OECD Americas 2018'!$J12-'OECD Americas 2018'!$G12-'OECD Americas 2018'!$H12)</f>
        <v>0.35988334554695822</v>
      </c>
      <c r="H109" s="89">
        <f>1-H110-H111-H112-H113-H114</f>
        <v>0.35988334554695817</v>
      </c>
      <c r="I109" s="89">
        <f>1-I110-I111-I112-I113-I114</f>
        <v>0.35988334554695817</v>
      </c>
    </row>
    <row r="110" spans="1:9" x14ac:dyDescent="0.35">
      <c r="A110" s="30" t="s">
        <v>142</v>
      </c>
      <c r="B110" s="40">
        <f>'OECD Americas 1995'!$C12/('OECD Americas 1995'!$L12-'OECD Americas 1995'!$J12-'OECD Americas 1995'!$G12-'OECD Americas 1995'!$H12)</f>
        <v>5.2062881925147371E-4</v>
      </c>
      <c r="C110" s="40">
        <f>'OECD Americas 2000'!$C12/('OECD Americas 2000'!$L12-'OECD Americas 2000'!$J12-'OECD Americas 2000'!$G12-'OECD Americas 2000'!$H12)</f>
        <v>5.3229579921929948E-4</v>
      </c>
      <c r="D110" s="40">
        <f>'OECD Americas 2005'!$C12/('OECD Americas 2005'!$L12-'OECD Americas 2005'!$J12-'OECD Americas 2005'!$G12-'OECD Americas 2005'!$H12)</f>
        <v>0</v>
      </c>
      <c r="E110" s="40">
        <f>'OECD Americas 2010'!$C12/('OECD Americas 2010'!$L12-'OECD Americas 2010'!$J12-'OECD Americas 2010'!$G12-'OECD Americas 2010'!$H12)</f>
        <v>0</v>
      </c>
      <c r="F110" s="40">
        <f>'OECD Americas 2015'!$C12/('OECD Americas 2015'!$L12-'OECD Americas 2015'!$J12-'OECD Americas 2015'!$G12-'OECD Americas 2015'!$H12)</f>
        <v>0</v>
      </c>
      <c r="G110" s="40">
        <f>'OECD Americas 2018'!$C12/('OECD Americas 2018'!$L12-'OECD Americas 2018'!$J12-'OECD Americas 2018'!$G12-'OECD Americas 2018'!$H12)</f>
        <v>0</v>
      </c>
      <c r="H110" s="77">
        <f t="shared" si="2"/>
        <v>0</v>
      </c>
      <c r="I110" s="77">
        <f t="shared" si="3"/>
        <v>0</v>
      </c>
    </row>
    <row r="111" spans="1:9" x14ac:dyDescent="0.35">
      <c r="A111" s="30" t="s">
        <v>143</v>
      </c>
      <c r="B111" s="40">
        <f>'OECD Americas 1995'!$D12/('OECD Americas 1995'!$L12-'OECD Americas 1995'!$J12-'OECD Americas 1995'!$G12-'OECD Americas 1995'!$H12)</f>
        <v>4.2518438414628788E-2</v>
      </c>
      <c r="C111" s="40">
        <f>'OECD Americas 2000'!$D12/('OECD Americas 2000'!$L12-'OECD Americas 2000'!$J12-'OECD Americas 2000'!$G12-'OECD Americas 2000'!$H12)</f>
        <v>7.9475693950102316E-2</v>
      </c>
      <c r="D111" s="40">
        <f>'OECD Americas 2005'!$D12/('OECD Americas 2005'!$L12-'OECD Americas 2005'!$J12-'OECD Americas 2005'!$G12-'OECD Americas 2005'!$H12)</f>
        <v>5.0363912594012496E-2</v>
      </c>
      <c r="E111" s="40">
        <f>'OECD Americas 2010'!$D12/('OECD Americas 2010'!$L12-'OECD Americas 2010'!$J12-'OECD Americas 2010'!$G12-'OECD Americas 2010'!$H12)</f>
        <v>2.3638919163963094E-2</v>
      </c>
      <c r="F111" s="40">
        <f>'OECD Americas 2015'!$D12/('OECD Americas 2015'!$L12-'OECD Americas 2015'!$J12-'OECD Americas 2015'!$G12-'OECD Americas 2015'!$H12)</f>
        <v>1.8123844387492899E-2</v>
      </c>
      <c r="G111" s="40">
        <f>'OECD Americas 2018'!$D12/('OECD Americas 2018'!$L12-'OECD Americas 2018'!$J12-'OECD Americas 2018'!$G12-'OECD Americas 2018'!$H12)</f>
        <v>2.0037225752514116E-2</v>
      </c>
      <c r="H111" s="77">
        <f t="shared" si="2"/>
        <v>2.0037225752514116E-2</v>
      </c>
      <c r="I111" s="77">
        <f t="shared" si="3"/>
        <v>2.0037225752514116E-2</v>
      </c>
    </row>
    <row r="112" spans="1:9" x14ac:dyDescent="0.35">
      <c r="A112" s="30" t="s">
        <v>241</v>
      </c>
      <c r="B112" s="40">
        <f>'OECD Americas 1995'!$E12/('OECD Americas 1995'!$L12-'OECD Americas 1995'!$J12-'OECD Americas 1995'!$G12-'OECD Americas 1995'!$H12)</f>
        <v>0.10293898104785645</v>
      </c>
      <c r="C112" s="40">
        <f>'OECD Americas 2000'!$E12/('OECD Americas 2000'!$L12-'OECD Americas 2000'!$J12-'OECD Americas 2000'!$G12-'OECD Americas 2000'!$H12)</f>
        <v>0.11764693382745116</v>
      </c>
      <c r="D112" s="40">
        <f>'OECD Americas 2005'!$E12/('OECD Americas 2005'!$L12-'OECD Americas 2005'!$J12-'OECD Americas 2005'!$G12-'OECD Americas 2005'!$H12)</f>
        <v>0.14080843423415129</v>
      </c>
      <c r="E112" s="40">
        <f>'OECD Americas 2010'!$E12/('OECD Americas 2010'!$L12-'OECD Americas 2010'!$J12-'OECD Americas 2010'!$G12-'OECD Americas 2010'!$H12)</f>
        <v>0.1926543313833714</v>
      </c>
      <c r="F112" s="40">
        <f>'OECD Americas 2015'!$E12/('OECD Americas 2015'!$L12-'OECD Americas 2015'!$J12-'OECD Americas 2015'!$G12-'OECD Americas 2015'!$H12)</f>
        <v>0.2745695784619242</v>
      </c>
      <c r="G112" s="40">
        <f>'OECD Americas 2018'!$E12/('OECD Americas 2018'!$L12-'OECD Americas 2018'!$J12-'OECD Americas 2018'!$G12-'OECD Americas 2018'!$H12)</f>
        <v>0.31391194951242979</v>
      </c>
      <c r="H112" s="77">
        <f t="shared" si="2"/>
        <v>0.31391194951242979</v>
      </c>
      <c r="I112" s="77">
        <f t="shared" si="3"/>
        <v>0.31391194951242979</v>
      </c>
    </row>
    <row r="113" spans="1:9" x14ac:dyDescent="0.35">
      <c r="A113" s="30" t="s">
        <v>180</v>
      </c>
      <c r="B113" s="40">
        <f>'OECD Americas 1995'!$F12/('OECD Americas 1995'!$L12-'OECD Americas 1995'!$J12-'OECD Americas 1995'!$G12-'OECD Americas 1995'!$H12)</f>
        <v>0.26807115176894619</v>
      </c>
      <c r="C113" s="40">
        <f>'OECD Americas 2000'!$F12/('OECD Americas 2000'!$L12-'OECD Americas 2000'!$J12-'OECD Americas 2000'!$G12-'OECD Americas 2000'!$H12)</f>
        <v>0.24326555504321051</v>
      </c>
      <c r="D113" s="40">
        <f>'OECD Americas 2005'!$F12/('OECD Americas 2005'!$L12-'OECD Americas 2005'!$J12-'OECD Americas 2005'!$G12-'OECD Americas 2005'!$H12)</f>
        <v>0.24906667615336645</v>
      </c>
      <c r="E113" s="40">
        <f>'OECD Americas 2010'!$F12/('OECD Americas 2010'!$L12-'OECD Americas 2010'!$J12-'OECD Americas 2010'!$G12-'OECD Americas 2010'!$H12)</f>
        <v>0.2581713572730614</v>
      </c>
      <c r="F113" s="40">
        <f>'OECD Americas 2015'!$F12/('OECD Americas 2015'!$L12-'OECD Americas 2015'!$J12-'OECD Americas 2015'!$G12-'OECD Americas 2015'!$H12)</f>
        <v>0.27772312286737605</v>
      </c>
      <c r="G113" s="40">
        <f>'OECD Americas 2018'!$F12/('OECD Americas 2018'!$L12-'OECD Americas 2018'!$J12-'OECD Americas 2018'!$G12-'OECD Americas 2018'!$H12)</f>
        <v>0.28558666111606157</v>
      </c>
      <c r="H113" s="77">
        <f t="shared" si="2"/>
        <v>0.28558666111606157</v>
      </c>
      <c r="I113" s="77">
        <f t="shared" si="3"/>
        <v>0.28558666111606157</v>
      </c>
    </row>
    <row r="114" spans="1:9" x14ac:dyDescent="0.35">
      <c r="A114" s="30" t="s">
        <v>146</v>
      </c>
      <c r="B114" s="40">
        <f>'OECD Americas 1995'!$I12/('OECD Americas 1995'!$L12-'OECD Americas 1995'!$J12-'OECD Americas 1995'!$G12-'OECD Americas 1995'!$H12)</f>
        <v>1.537297723158448E-2</v>
      </c>
      <c r="C114" s="40">
        <f>'OECD Americas 2000'!$I12/('OECD Americas 2000'!$L12-'OECD Americas 2000'!$J12-'OECD Americas 2000'!$G12-'OECD Americas 2000'!$H12)</f>
        <v>1.2792098647904922E-2</v>
      </c>
      <c r="D114" s="40">
        <f>'OECD Americas 2005'!$I12/('OECD Americas 2005'!$L12-'OECD Americas 2005'!$J12-'OECD Americas 2005'!$G12-'OECD Americas 2005'!$H12)</f>
        <v>1.5057694480833378E-2</v>
      </c>
      <c r="E114" s="40">
        <f>'OECD Americas 2010'!$I12/('OECD Americas 2010'!$L12-'OECD Americas 2010'!$J12-'OECD Americas 2010'!$G12-'OECD Americas 2010'!$H12)</f>
        <v>1.6455517883830567E-2</v>
      </c>
      <c r="F114" s="40">
        <f>'OECD Americas 2015'!$I12/('OECD Americas 2015'!$L12-'OECD Americas 2015'!$J12-'OECD Americas 2015'!$G12-'OECD Americas 2015'!$H12)</f>
        <v>2.0760081007236662E-2</v>
      </c>
      <c r="G114" s="40">
        <f>'OECD Americas 2018'!$I12/('OECD Americas 2018'!$L12-'OECD Americas 2018'!$J12-'OECD Americas 2018'!$G12-'OECD Americas 2018'!$H12)</f>
        <v>2.0580818072036305E-2</v>
      </c>
      <c r="H114" s="77">
        <f t="shared" si="2"/>
        <v>2.0580818072036305E-2</v>
      </c>
      <c r="I114" s="77">
        <f t="shared" si="3"/>
        <v>2.0580818072036305E-2</v>
      </c>
    </row>
    <row r="115" spans="1:9" x14ac:dyDescent="0.35">
      <c r="A115" s="32" t="s">
        <v>181</v>
      </c>
      <c r="B115" s="82"/>
      <c r="C115" s="82"/>
      <c r="D115" s="82"/>
      <c r="E115" s="82"/>
      <c r="F115" s="82"/>
      <c r="G115" s="82"/>
      <c r="H115" s="42">
        <f t="shared" si="2"/>
        <v>0</v>
      </c>
      <c r="I115" s="42">
        <f t="shared" si="3"/>
        <v>0</v>
      </c>
    </row>
    <row r="116" spans="1:9" x14ac:dyDescent="0.35">
      <c r="A116" s="30" t="s">
        <v>141</v>
      </c>
      <c r="B116" s="40">
        <f>'OECD Americas 1995'!$B13/IF(('OECD Americas 1995'!$L13-'OECD Americas 1995'!$J13-'OECD Americas 1995'!$K13-'OECD Americas 1995'!$G13-'OECD Americas 1995'!$H13)=0,1,('OECD Americas 1995'!$L13-'OECD Americas 1995'!$J13-'OECD Americas 1995'!$K13-'OECD Americas 1995'!$G13-'OECD Americas 1995'!$H13))</f>
        <v>0.15601597359864869</v>
      </c>
      <c r="C116" s="40">
        <f>'OECD Americas 2000'!$B13/IF(('OECD Americas 2000'!$L13-'OECD Americas 2000'!$J13-'OECD Americas 2000'!$K13-'OECD Americas 2000'!$G13-'OECD Americas 2000'!$H13)=0,1,('OECD Americas 2000'!$L13-'OECD Americas 2000'!$J13-'OECD Americas 2000'!$K13-'OECD Americas 2000'!$G13-'OECD Americas 2000'!$H13))</f>
        <v>0.23988560189005573</v>
      </c>
      <c r="D116" s="40">
        <f>'OECD Americas 2005'!$B13/IF(('OECD Americas 2005'!$L13-'OECD Americas 2005'!$J13-'OECD Americas 2005'!$K13-'OECD Americas 2005'!$G13-'OECD Americas 2005'!$H13)=0,1,('OECD Americas 2005'!$L13-'OECD Americas 2005'!$J13-'OECD Americas 2005'!$K13-'OECD Americas 2005'!$G13-'OECD Americas 2005'!$H13))</f>
        <v>0.18982033074393556</v>
      </c>
      <c r="E116" s="40">
        <f>'OECD Americas 2010'!$B13/IF(('OECD Americas 2010'!$L13-'OECD Americas 2010'!$J13-'OECD Americas 2010'!$K13-'OECD Americas 2010'!$G13-'OECD Americas 2010'!$H13)=0,1,('OECD Americas 2010'!$L13-'OECD Americas 2010'!$J13-'OECD Americas 2010'!$K13-'OECD Americas 2010'!$G13-'OECD Americas 2010'!$H13))</f>
        <v>0.19212830491015223</v>
      </c>
      <c r="F116" s="40">
        <f>'OECD Americas 2015'!$B13/IF(('OECD Americas 2015'!$L13-'OECD Americas 2015'!$J13-'OECD Americas 2015'!$K13-'OECD Americas 2015'!$G13-'OECD Americas 2015'!$H13)=0,1,('OECD Americas 2015'!$L13-'OECD Americas 2015'!$J13-'OECD Americas 2015'!$K13-'OECD Americas 2015'!$G13-'OECD Americas 2015'!$H13))</f>
        <v>0.11234322527585498</v>
      </c>
      <c r="G116" s="40">
        <f>'OECD Americas 2018'!$B13/IF(('OECD Americas 2018'!$L13-'OECD Americas 2018'!$J13-'OECD Americas 2018'!$K13-'OECD Americas 2018'!$G13-'OECD Americas 2018'!$H13)=0,1,('OECD Americas 2018'!$L13-'OECD Americas 2018'!$J13-'OECD Americas 2018'!$K13-'OECD Americas 2018'!$G13-'OECD Americas 2018'!$H13))</f>
        <v>9.1660328789562984E-2</v>
      </c>
      <c r="H116" s="89">
        <f>1-H117-H118-H119-H120-H121</f>
        <v>9.16603287895629E-2</v>
      </c>
      <c r="I116" s="89">
        <f>1-I117-I118-I119-I120-I121</f>
        <v>9.16603287895629E-2</v>
      </c>
    </row>
    <row r="117" spans="1:9" x14ac:dyDescent="0.35">
      <c r="A117" s="30" t="s">
        <v>142</v>
      </c>
      <c r="B117" s="40">
        <f>'OECD Americas 1995'!$C13/IF(('OECD Americas 1995'!$L13-'OECD Americas 1995'!$J13-'OECD Americas 1995'!$K13-'OECD Americas 1995'!$G13-'OECD Americas 1995'!$H13)=0,1,('OECD Americas 1995'!$L13-'OECD Americas 1995'!$J13-'OECD Americas 1995'!$K13-'OECD Americas 1995'!$G13-'OECD Americas 1995'!$H13))</f>
        <v>0</v>
      </c>
      <c r="C117" s="40">
        <f>'OECD Americas 2000'!$C13/IF(('OECD Americas 2000'!$L13-'OECD Americas 2000'!$J13-'OECD Americas 2000'!$K13-'OECD Americas 2000'!$G13-'OECD Americas 2000'!$H13)=0,1,('OECD Americas 2000'!$L13-'OECD Americas 2000'!$J13-'OECD Americas 2000'!$K13-'OECD Americas 2000'!$G13-'OECD Americas 2000'!$H13))</f>
        <v>0</v>
      </c>
      <c r="D117" s="40">
        <f>'OECD Americas 2005'!$C13/IF(('OECD Americas 2005'!$L13-'OECD Americas 2005'!$J13-'OECD Americas 2005'!$K13-'OECD Americas 2005'!$G13-'OECD Americas 2005'!$H13)=0,1,('OECD Americas 2005'!$L13-'OECD Americas 2005'!$J13-'OECD Americas 2005'!$K13-'OECD Americas 2005'!$G13-'OECD Americas 2005'!$H13))</f>
        <v>0</v>
      </c>
      <c r="E117" s="40">
        <f>'OECD Americas 2010'!$C13/IF(('OECD Americas 2010'!$L13-'OECD Americas 2010'!$J13-'OECD Americas 2010'!$K13-'OECD Americas 2010'!$G13-'OECD Americas 2010'!$H13)=0,1,('OECD Americas 2010'!$L13-'OECD Americas 2010'!$J13-'OECD Americas 2010'!$K13-'OECD Americas 2010'!$G13-'OECD Americas 2010'!$H13))</f>
        <v>0</v>
      </c>
      <c r="F117" s="40">
        <f>'OECD Americas 2015'!$C13/IF(('OECD Americas 2015'!$L13-'OECD Americas 2015'!$J13-'OECD Americas 2015'!$K13-'OECD Americas 2015'!$G13-'OECD Americas 2015'!$H13)=0,1,('OECD Americas 2015'!$L13-'OECD Americas 2015'!$J13-'OECD Americas 2015'!$K13-'OECD Americas 2015'!$G13-'OECD Americas 2015'!$H13))</f>
        <v>0</v>
      </c>
      <c r="G117" s="40">
        <f>'OECD Americas 2018'!$C13/IF(('OECD Americas 2018'!$L13-'OECD Americas 2018'!$J13-'OECD Americas 2018'!$K13-'OECD Americas 2018'!$G13-'OECD Americas 2018'!$H13)=0,1,('OECD Americas 2018'!$L13-'OECD Americas 2018'!$J13-'OECD Americas 2018'!$K13-'OECD Americas 2018'!$G13-'OECD Americas 2018'!$H13))</f>
        <v>0</v>
      </c>
      <c r="H117" s="77">
        <f t="shared" si="2"/>
        <v>0</v>
      </c>
      <c r="I117" s="77">
        <f t="shared" si="3"/>
        <v>0</v>
      </c>
    </row>
    <row r="118" spans="1:9" x14ac:dyDescent="0.35">
      <c r="A118" s="30" t="s">
        <v>143</v>
      </c>
      <c r="B118" s="40">
        <f>'OECD Americas 1995'!$D13/IF('OECD Americas 1995'!$L13-'OECD Americas 1995'!$J13-'OECD Americas 1995'!$K13-'OECD Americas 1995'!$G13-'OECD Americas 1995'!$H13=0,1,('OECD Americas 1995'!$L13-'OECD Americas 1995'!$J13-'OECD Americas 1995'!$K13-'OECD Americas 1995'!$G13-'OECD Americas 1995'!$H13))</f>
        <v>8.2992413517023211E-4</v>
      </c>
      <c r="C118" s="40">
        <f>'OECD Americas 2000'!$D13/IF('OECD Americas 2000'!$L13-'OECD Americas 2000'!$J13-'OECD Americas 2000'!$K13-'OECD Americas 2000'!$G13-'OECD Americas 2000'!$H13=0,1,('OECD Americas 2000'!$L13-'OECD Americas 2000'!$J13-'OECD Americas 2000'!$K13-'OECD Americas 2000'!$G13-'OECD Americas 2000'!$H13))</f>
        <v>0.10206527022597017</v>
      </c>
      <c r="D118" s="40">
        <f>'OECD Americas 2005'!$D13/IF('OECD Americas 2005'!$L13-'OECD Americas 2005'!$J13-'OECD Americas 2005'!$K13-'OECD Americas 2005'!$G13-'OECD Americas 2005'!$H13=0,1,('OECD Americas 2005'!$L13-'OECD Americas 2005'!$J13-'OECD Americas 2005'!$K13-'OECD Americas 2005'!$G13-'OECD Americas 2005'!$H13))</f>
        <v>7.0569032073583379E-2</v>
      </c>
      <c r="E118" s="40">
        <f>'OECD Americas 2010'!$D13/IF('OECD Americas 2010'!$L13-'OECD Americas 2010'!$J13-'OECD Americas 2010'!$K13-'OECD Americas 2010'!$G13-'OECD Americas 2010'!$H13=0,1,('OECD Americas 2010'!$L13-'OECD Americas 2010'!$J13-'OECD Americas 2010'!$K13-'OECD Americas 2010'!$G13-'OECD Americas 2010'!$H13))</f>
        <v>4.2405860135057802E-2</v>
      </c>
      <c r="F118" s="40">
        <f>'OECD Americas 2015'!$D13/IF('OECD Americas 2015'!$L13-'OECD Americas 2015'!$J13-'OECD Americas 2015'!$K13-'OECD Americas 2015'!$G13-'OECD Americas 2015'!$H13=0,1,('OECD Americas 2015'!$L13-'OECD Americas 2015'!$J13-'OECD Americas 2015'!$K13-'OECD Americas 2015'!$G13-'OECD Americas 2015'!$H13))</f>
        <v>4.5055170995819342E-2</v>
      </c>
      <c r="G118" s="40">
        <f>'OECD Americas 2018'!$D13/IF('OECD Americas 2018'!$L13-'OECD Americas 2018'!$J13-'OECD Americas 2018'!$K13-'OECD Americas 2018'!$G13-'OECD Americas 2018'!$H13=0,1,('OECD Americas 2018'!$L13-'OECD Americas 2018'!$J13-'OECD Americas 2018'!$K13-'OECD Americas 2018'!$G13-'OECD Americas 2018'!$H13))</f>
        <v>3.7456853682794125E-2</v>
      </c>
      <c r="H118" s="77">
        <f t="shared" si="2"/>
        <v>3.7456853682794125E-2</v>
      </c>
      <c r="I118" s="77">
        <f t="shared" si="3"/>
        <v>3.7456853682794125E-2</v>
      </c>
    </row>
    <row r="119" spans="1:9" x14ac:dyDescent="0.35">
      <c r="A119" s="30" t="s">
        <v>241</v>
      </c>
      <c r="B119" s="40">
        <f>'OECD Americas 1995'!$E13/IF(('OECD Americas 1995'!$L13-'OECD Americas 1995'!$J13-'OECD Americas 1995'!$K13-'OECD Americas 1995'!$G13-'OECD Americas 1995'!$H13)=0,1,('OECD Americas 1995'!$L13-'OECD Americas 1995'!$J13-'OECD Americas 1995'!$K13-'OECD Americas 1995'!$G13-'OECD Americas 1995'!$H13))</f>
        <v>0.53699997070855998</v>
      </c>
      <c r="C119" s="40">
        <f>'OECD Americas 2000'!$E13/IF(('OECD Americas 2000'!$L13-'OECD Americas 2000'!$J13-'OECD Americas 2000'!$K13-'OECD Americas 2000'!$G13-'OECD Americas 2000'!$H13)=0,1,('OECD Americas 2000'!$L13-'OECD Americas 2000'!$J13-'OECD Americas 2000'!$K13-'OECD Americas 2000'!$G13-'OECD Americas 2000'!$H13))</f>
        <v>0.51905316346947317</v>
      </c>
      <c r="D119" s="40">
        <f>'OECD Americas 2005'!$E13/IF(('OECD Americas 2005'!$L13-'OECD Americas 2005'!$J13-'OECD Americas 2005'!$K13-'OECD Americas 2005'!$G13-'OECD Americas 2005'!$H13)=0,1,('OECD Americas 2005'!$L13-'OECD Americas 2005'!$J13-'OECD Americas 2005'!$K13-'OECD Americas 2005'!$G13-'OECD Americas 2005'!$H13))</f>
        <v>0.60986274603250246</v>
      </c>
      <c r="E119" s="40">
        <f>'OECD Americas 2010'!$E13/IF(('OECD Americas 2010'!$L13-'OECD Americas 2010'!$J13-'OECD Americas 2010'!$K13-'OECD Americas 2010'!$G13-'OECD Americas 2010'!$H13)=0,1,('OECD Americas 2010'!$L13-'OECD Americas 2010'!$J13-'OECD Americas 2010'!$K13-'OECD Americas 2010'!$G13-'OECD Americas 2010'!$H13))</f>
        <v>0.65547384685818932</v>
      </c>
      <c r="F119" s="40">
        <f>'OECD Americas 2015'!$E13/IF(('OECD Americas 2015'!$L13-'OECD Americas 2015'!$J13-'OECD Americas 2015'!$K13-'OECD Americas 2015'!$G13-'OECD Americas 2015'!$H13)=0,1,('OECD Americas 2015'!$L13-'OECD Americas 2015'!$J13-'OECD Americas 2015'!$K13-'OECD Americas 2015'!$G13-'OECD Americas 2015'!$H13))</f>
        <v>0.68693029949969164</v>
      </c>
      <c r="G119" s="40">
        <f>'OECD Americas 2018'!$E13/IF(('OECD Americas 2018'!$L13-'OECD Americas 2018'!$J13-'OECD Americas 2018'!$K13-'OECD Americas 2018'!$G13-'OECD Americas 2018'!$H13)=0,1,('OECD Americas 2018'!$L13-'OECD Americas 2018'!$J13-'OECD Americas 2018'!$K13-'OECD Americas 2018'!$G13-'OECD Americas 2018'!$H13))</f>
        <v>0.69579652489323118</v>
      </c>
      <c r="H119" s="77">
        <f t="shared" si="2"/>
        <v>0.69579652489323118</v>
      </c>
      <c r="I119" s="77">
        <f t="shared" si="3"/>
        <v>0.69579652489323118</v>
      </c>
    </row>
    <row r="120" spans="1:9" x14ac:dyDescent="0.35">
      <c r="A120" s="30" t="s">
        <v>180</v>
      </c>
      <c r="B120" s="40">
        <f>'OECD Americas 1995'!$F13/IF(('OECD Americas 1995'!$L13-'OECD Americas 1995'!$J13-'OECD Americas 1995'!$K13-'OECD Americas 1995'!$G13-'OECD Americas 1995'!$H13)=0,1,('OECD Americas 1995'!$L13-'OECD Americas 1995'!$J13-'OECD Americas 1995'!$K13-'OECD Americas 1995'!$G13-'OECD Americas 1995'!$H13))</f>
        <v>6.0535642800652219E-4</v>
      </c>
      <c r="C120" s="40">
        <f>'OECD Americas 2000'!$F13/IF(('OECD Americas 2000'!$L13-'OECD Americas 2000'!$J13-'OECD Americas 2000'!$K13-'OECD Americas 2000'!$G13-'OECD Americas 2000'!$H13)=0,1,('OECD Americas 2000'!$L13-'OECD Americas 2000'!$J13-'OECD Americas 2000'!$K13-'OECD Americas 2000'!$G13-'OECD Americas 2000'!$H13))</f>
        <v>0</v>
      </c>
      <c r="D120" s="40">
        <f>'OECD Americas 2005'!$F13/IF(('OECD Americas 2005'!$L13-'OECD Americas 2005'!$J13-'OECD Americas 2005'!$K13-'OECD Americas 2005'!$G13-'OECD Americas 2005'!$H13)=0,1,('OECD Americas 2005'!$L13-'OECD Americas 2005'!$J13-'OECD Americas 2005'!$K13-'OECD Americas 2005'!$G13-'OECD Americas 2005'!$H13))</f>
        <v>0</v>
      </c>
      <c r="E120" s="40">
        <f>'OECD Americas 2010'!$F13/IF(('OECD Americas 2010'!$L13-'OECD Americas 2010'!$J13-'OECD Americas 2010'!$K13-'OECD Americas 2010'!$G13-'OECD Americas 2010'!$H13)=0,1,('OECD Americas 2010'!$L13-'OECD Americas 2010'!$J13-'OECD Americas 2010'!$K13-'OECD Americas 2010'!$G13-'OECD Americas 2010'!$H13))</f>
        <v>0</v>
      </c>
      <c r="F120" s="40">
        <f>'OECD Americas 2015'!$F13/IF(('OECD Americas 2015'!$L13-'OECD Americas 2015'!$J13-'OECD Americas 2015'!$K13-'OECD Americas 2015'!$G13-'OECD Americas 2015'!$H13)=0,1,('OECD Americas 2015'!$L13-'OECD Americas 2015'!$J13-'OECD Americas 2015'!$K13-'OECD Americas 2015'!$G13-'OECD Americas 2015'!$H13))</f>
        <v>0</v>
      </c>
      <c r="G120" s="40">
        <f>'OECD Americas 2018'!$F13/IF(('OECD Americas 2018'!$L13-'OECD Americas 2018'!$J13-'OECD Americas 2018'!$K13-'OECD Americas 2018'!$G13-'OECD Americas 2018'!$H13)=0,1,('OECD Americas 2018'!$L13-'OECD Americas 2018'!$J13-'OECD Americas 2018'!$K13-'OECD Americas 2018'!$G13-'OECD Americas 2018'!$H13))</f>
        <v>0</v>
      </c>
      <c r="H120" s="77">
        <f t="shared" si="2"/>
        <v>0</v>
      </c>
      <c r="I120" s="77">
        <f t="shared" si="3"/>
        <v>0</v>
      </c>
    </row>
    <row r="121" spans="1:9" x14ac:dyDescent="0.35">
      <c r="A121" s="30" t="s">
        <v>146</v>
      </c>
      <c r="B121" s="40">
        <f>'OECD Americas 1995'!$I13/IF(('OECD Americas 1995'!$L13-'OECD Americas 1995'!$J13-'OECD Americas 1995'!$K13-'OECD Americas 1995'!$G13-'OECD Americas 1995'!$H13)=0,1,('OECD Americas 1995'!$L13-'OECD Americas 1995'!$J13-'OECD Americas 1995'!$K13-'OECD Americas 1995'!$G13-'OECD Americas 1995'!$H13))</f>
        <v>0.30553901131625966</v>
      </c>
      <c r="C121" s="40">
        <f>'OECD Americas 2000'!$I13/IF(('OECD Americas 2000'!$L13-'OECD Americas 2000'!$J13-'OECD Americas 2000'!$K13-'OECD Americas 2000'!$G13-'OECD Americas 2000'!$H13)=0,1,('OECD Americas 2000'!$L13-'OECD Americas 2000'!$J13-'OECD Americas 2000'!$K13-'OECD Americas 2000'!$G13-'OECD Americas 2000'!$H13))</f>
        <v>0.13899596441450099</v>
      </c>
      <c r="D121" s="40">
        <f>'OECD Americas 2005'!$I13/IF(('OECD Americas 2005'!$L13-'OECD Americas 2005'!$J13-'OECD Americas 2005'!$K13-'OECD Americas 2005'!$G13-'OECD Americas 2005'!$H13)=0,1,('OECD Americas 2005'!$L13-'OECD Americas 2005'!$J13-'OECD Americas 2005'!$K13-'OECD Americas 2005'!$G13-'OECD Americas 2005'!$H13))</f>
        <v>0.12974789114997856</v>
      </c>
      <c r="E121" s="40">
        <f>'OECD Americas 2010'!$I13/IF(('OECD Americas 2010'!$L13-'OECD Americas 2010'!$J13-'OECD Americas 2010'!$K13-'OECD Americas 2010'!$G13-'OECD Americas 2010'!$H13)=0,1,('OECD Americas 2010'!$L13-'OECD Americas 2010'!$J13-'OECD Americas 2010'!$K13-'OECD Americas 2010'!$G13-'OECD Americas 2010'!$H13))</f>
        <v>0.10999198809660067</v>
      </c>
      <c r="F121" s="40">
        <f>'OECD Americas 2015'!$I13/IF(('OECD Americas 2015'!$L13-'OECD Americas 2015'!$J13-'OECD Americas 2015'!$K13-'OECD Americas 2015'!$G13-'OECD Americas 2015'!$H13)=0,1,('OECD Americas 2015'!$L13-'OECD Americas 2015'!$J13-'OECD Americas 2015'!$K13-'OECD Americas 2015'!$G13-'OECD Americas 2015'!$H13))</f>
        <v>0.15567130422863409</v>
      </c>
      <c r="G121" s="40">
        <f>'OECD Americas 2018'!$I13/IF(('OECD Americas 2018'!$L13-'OECD Americas 2018'!$J13-'OECD Americas 2018'!$K13-'OECD Americas 2018'!$G13-'OECD Americas 2018'!$H13)=0,1,('OECD Americas 2018'!$L13-'OECD Americas 2018'!$J13-'OECD Americas 2018'!$K13-'OECD Americas 2018'!$G13-'OECD Americas 2018'!$H13))</f>
        <v>0.17508629263441175</v>
      </c>
      <c r="H121" s="77">
        <f t="shared" si="2"/>
        <v>0.17508629263441175</v>
      </c>
      <c r="I121" s="77">
        <f t="shared" si="3"/>
        <v>0.17508629263441175</v>
      </c>
    </row>
    <row r="122" spans="1:9" x14ac:dyDescent="0.35">
      <c r="A122" s="32" t="s">
        <v>182</v>
      </c>
      <c r="B122" s="82"/>
      <c r="C122" s="82"/>
      <c r="D122" s="82"/>
      <c r="E122" s="82"/>
      <c r="F122" s="82"/>
      <c r="G122" s="82"/>
      <c r="H122" s="42">
        <f t="shared" si="2"/>
        <v>0</v>
      </c>
      <c r="I122" s="42">
        <f t="shared" si="3"/>
        <v>0</v>
      </c>
    </row>
    <row r="123" spans="1:9" x14ac:dyDescent="0.35">
      <c r="A123" s="30" t="s">
        <v>141</v>
      </c>
      <c r="B123" s="40">
        <f>'OECD Americas 1995'!$B14/IF(('OECD Americas 1995'!$L14-'OECD Americas 1995'!$J14-'OECD Americas 1995'!$K14-'OECD Americas 1995'!$G14-'OECD Americas 1995'!$H14)=0,1,('OECD Americas 1995'!$L14-'OECD Americas 1995'!$J14-'OECD Americas 1995'!$K14-'OECD Americas 1995'!$G14-'OECD Americas 1995'!$H14))</f>
        <v>0.3690103000447828</v>
      </c>
      <c r="C123" s="40">
        <f>'OECD Americas 2000'!$B14/IF(('OECD Americas 2000'!$L14-'OECD Americas 2000'!$J14-'OECD Americas 2000'!$K14-'OECD Americas 2000'!$G14-'OECD Americas 2000'!$H14)=0,1,('OECD Americas 2000'!$L14-'OECD Americas 2000'!$J14-'OECD Americas 2000'!$K14-'OECD Americas 2000'!$G14-'OECD Americas 2000'!$H14))</f>
        <v>0</v>
      </c>
      <c r="D123" s="40">
        <f>'OECD Americas 2005'!$B14/IF(('OECD Americas 2005'!$L14-'OECD Americas 2005'!$J14-'OECD Americas 2005'!$K14-'OECD Americas 2005'!$G14-'OECD Americas 2005'!$H14)=0,1,('OECD Americas 2005'!$L14-'OECD Americas 2005'!$J14-'OECD Americas 2005'!$K14-'OECD Americas 2005'!$G14-'OECD Americas 2005'!$H14))</f>
        <v>0</v>
      </c>
      <c r="E123" s="40">
        <f>'OECD Americas 2010'!$B14/IF(('OECD Americas 2010'!$L14-'OECD Americas 2010'!$J14-'OECD Americas 2010'!$K14-'OECD Americas 2010'!$G14-'OECD Americas 2010'!$H14)=0,1,('OECD Americas 2010'!$L14-'OECD Americas 2010'!$J14-'OECD Americas 2010'!$K14-'OECD Americas 2010'!$G14-'OECD Americas 2010'!$H14))</f>
        <v>0</v>
      </c>
      <c r="F123" s="40">
        <f>'OECD Americas 2015'!$B14/IF(('OECD Americas 2015'!$L14-'OECD Americas 2015'!$J14-'OECD Americas 2015'!$K14-'OECD Americas 2015'!$G14-'OECD Americas 2015'!$H14)=0,1,('OECD Americas 2015'!$L14-'OECD Americas 2015'!$J14-'OECD Americas 2015'!$K14-'OECD Americas 2015'!$G14-'OECD Americas 2015'!$H14))</f>
        <v>5.263157894736842E-3</v>
      </c>
      <c r="G123" s="40">
        <f>'OECD Americas 2018'!$B14/IF(('OECD Americas 2018'!$L14-'OECD Americas 2018'!$J14-'OECD Americas 2018'!$K14-'OECD Americas 2018'!$G14-'OECD Americas 2018'!$H14)=0,1,('OECD Americas 2018'!$L14-'OECD Americas 2018'!$J14-'OECD Americas 2018'!$K14-'OECD Americas 2018'!$G14-'OECD Americas 2018'!$H14))</f>
        <v>5.263157894736842E-3</v>
      </c>
      <c r="H123" s="77">
        <f t="shared" si="2"/>
        <v>5.263157894736842E-3</v>
      </c>
      <c r="I123" s="77">
        <f t="shared" si="3"/>
        <v>5.263157894736842E-3</v>
      </c>
    </row>
    <row r="124" spans="1:9" x14ac:dyDescent="0.35">
      <c r="A124" s="30" t="s">
        <v>142</v>
      </c>
      <c r="B124" s="40">
        <f>'OECD Americas 1995'!$C14/IF(('OECD Americas 1995'!$L14-'OECD Americas 1995'!$J14-'OECD Americas 1995'!$K14-'OECD Americas 1995'!$G14-'OECD Americas 1995'!$H14)=0,1,('OECD Americas 1995'!$L14-'OECD Americas 1995'!$J14-'OECD Americas 1995'!$K14-'OECD Americas 1995'!$G14-'OECD Americas 1995'!$H14))</f>
        <v>0</v>
      </c>
      <c r="C124" s="40">
        <f>'OECD Americas 2000'!$C14/IF(('OECD Americas 2000'!$L14-'OECD Americas 2000'!$J14-'OECD Americas 2000'!$K14-'OECD Americas 2000'!$G14-'OECD Americas 2000'!$H14)=0,1,('OECD Americas 2000'!$L14-'OECD Americas 2000'!$J14-'OECD Americas 2000'!$K14-'OECD Americas 2000'!$G14-'OECD Americas 2000'!$H14))</f>
        <v>0</v>
      </c>
      <c r="D124" s="40">
        <f>'OECD Americas 2005'!$C14/IF(('OECD Americas 2005'!$L14-'OECD Americas 2005'!$J14-'OECD Americas 2005'!$K14-'OECD Americas 2005'!$G14-'OECD Americas 2005'!$H14)=0,1,('OECD Americas 2005'!$L14-'OECD Americas 2005'!$J14-'OECD Americas 2005'!$K14-'OECD Americas 2005'!$G14-'OECD Americas 2005'!$H14))</f>
        <v>0</v>
      </c>
      <c r="E124" s="40">
        <f>'OECD Americas 2010'!$C14/IF(('OECD Americas 2010'!$L14-'OECD Americas 2010'!$J14-'OECD Americas 2010'!$K14-'OECD Americas 2010'!$G14-'OECD Americas 2010'!$H14)=0,1,('OECD Americas 2010'!$L14-'OECD Americas 2010'!$J14-'OECD Americas 2010'!$K14-'OECD Americas 2010'!$G14-'OECD Americas 2010'!$H14))</f>
        <v>0</v>
      </c>
      <c r="F124" s="40">
        <f>'OECD Americas 2015'!$C14/IF(('OECD Americas 2015'!$L14-'OECD Americas 2015'!$J14-'OECD Americas 2015'!$K14-'OECD Americas 2015'!$G14-'OECD Americas 2015'!$H14)=0,1,('OECD Americas 2015'!$L14-'OECD Americas 2015'!$J14-'OECD Americas 2015'!$K14-'OECD Americas 2015'!$G14-'OECD Americas 2015'!$H14))</f>
        <v>0</v>
      </c>
      <c r="G124" s="40">
        <f>'OECD Americas 2018'!$C14/IF(('OECD Americas 2018'!$L14-'OECD Americas 2018'!$J14-'OECD Americas 2018'!$K14-'OECD Americas 2018'!$G14-'OECD Americas 2018'!$H14)=0,1,('OECD Americas 2018'!$L14-'OECD Americas 2018'!$J14-'OECD Americas 2018'!$K14-'OECD Americas 2018'!$G14-'OECD Americas 2018'!$H14))</f>
        <v>0</v>
      </c>
      <c r="H124" s="77">
        <f t="shared" si="2"/>
        <v>0</v>
      </c>
      <c r="I124" s="77">
        <f t="shared" si="3"/>
        <v>0</v>
      </c>
    </row>
    <row r="125" spans="1:9" x14ac:dyDescent="0.35">
      <c r="A125" s="30" t="s">
        <v>143</v>
      </c>
      <c r="B125" s="40">
        <f>'OECD Americas 1995'!$D14/IF(('OECD Americas 1995'!$L14-'OECD Americas 1995'!$J14-'OECD Americas 1995'!$K14-'OECD Americas 1995'!$G14-'OECD Americas 1995'!$H14)=0,1,('OECD Americas 1995'!$L14-'OECD Americas 1995'!$J14-'OECD Americas 1995'!$K14-'OECD Americas 1995'!$G14-'OECD Americas 1995'!$H14))</f>
        <v>0</v>
      </c>
      <c r="C125" s="40">
        <f>'OECD Americas 2000'!$D14/IF(('OECD Americas 2000'!$L14-'OECD Americas 2000'!$J14-'OECD Americas 2000'!$K14-'OECD Americas 2000'!$G14-'OECD Americas 2000'!$H14)=0,1,('OECD Americas 2000'!$L14-'OECD Americas 2000'!$J14-'OECD Americas 2000'!$K14-'OECD Americas 2000'!$G14-'OECD Americas 2000'!$H14))</f>
        <v>0</v>
      </c>
      <c r="D125" s="40">
        <f>'OECD Americas 2005'!$D14/IF(('OECD Americas 2005'!$L14-'OECD Americas 2005'!$J14-'OECD Americas 2005'!$K14-'OECD Americas 2005'!$G14-'OECD Americas 2005'!$H14)=0,1,('OECD Americas 2005'!$L14-'OECD Americas 2005'!$J14-'OECD Americas 2005'!$K14-'OECD Americas 2005'!$G14-'OECD Americas 2005'!$H14))</f>
        <v>0</v>
      </c>
      <c r="E125" s="40">
        <f>'OECD Americas 2010'!$D14/IF(('OECD Americas 2010'!$L14-'OECD Americas 2010'!$J14-'OECD Americas 2010'!$K14-'OECD Americas 2010'!$G14-'OECD Americas 2010'!$H14)=0,1,('OECD Americas 2010'!$L14-'OECD Americas 2010'!$J14-'OECD Americas 2010'!$K14-'OECD Americas 2010'!$G14-'OECD Americas 2010'!$H14))</f>
        <v>0</v>
      </c>
      <c r="F125" s="40">
        <f>'OECD Americas 2015'!$D14/IF(('OECD Americas 2015'!$L14-'OECD Americas 2015'!$J14-'OECD Americas 2015'!$K14-'OECD Americas 2015'!$G14-'OECD Americas 2015'!$H14)=0,1,('OECD Americas 2015'!$L14-'OECD Americas 2015'!$J14-'OECD Americas 2015'!$K14-'OECD Americas 2015'!$G14-'OECD Americas 2015'!$H14))</f>
        <v>0</v>
      </c>
      <c r="G125" s="40">
        <f>'OECD Americas 2018'!$D14/IF(('OECD Americas 2018'!$L14-'OECD Americas 2018'!$J14-'OECD Americas 2018'!$K14-'OECD Americas 2018'!$G14-'OECD Americas 2018'!$H14)=0,1,('OECD Americas 2018'!$L14-'OECD Americas 2018'!$J14-'OECD Americas 2018'!$K14-'OECD Americas 2018'!$G14-'OECD Americas 2018'!$H14))</f>
        <v>0</v>
      </c>
      <c r="H125" s="77">
        <f t="shared" si="2"/>
        <v>0</v>
      </c>
      <c r="I125" s="77">
        <f t="shared" si="3"/>
        <v>0</v>
      </c>
    </row>
    <row r="126" spans="1:9" x14ac:dyDescent="0.35">
      <c r="A126" s="30" t="s">
        <v>241</v>
      </c>
      <c r="B126" s="40">
        <f>'OECD Americas 1995'!$E14/IF(('OECD Americas 1995'!$L14-'OECD Americas 1995'!$J14-'OECD Americas 1995'!$K14-'OECD Americas 1995'!$G14-'OECD Americas 1995'!$H14)=0,1,('OECD Americas 1995'!$L14-'OECD Americas 1995'!$J14-'OECD Americas 1995'!$K14-'OECD Americas 1995'!$G14-'OECD Americas 1995'!$H14))</f>
        <v>0.60277653381101659</v>
      </c>
      <c r="C126" s="40">
        <f>'OECD Americas 2000'!$E14/IF(('OECD Americas 2000'!$L14-'OECD Americas 2000'!$J14-'OECD Americas 2000'!$K14-'OECD Americas 2000'!$G14-'OECD Americas 2000'!$H14)=0,1,('OECD Americas 2000'!$L14-'OECD Americas 2000'!$J14-'OECD Americas 2000'!$K14-'OECD Americas 2000'!$G14-'OECD Americas 2000'!$H14))</f>
        <v>0</v>
      </c>
      <c r="D126" s="40">
        <f>'OECD Americas 2005'!$E14/IF(('OECD Americas 2005'!$L14-'OECD Americas 2005'!$J14-'OECD Americas 2005'!$K14-'OECD Americas 2005'!$G14-'OECD Americas 2005'!$H14)=0,1,('OECD Americas 2005'!$L14-'OECD Americas 2005'!$J14-'OECD Americas 2005'!$K14-'OECD Americas 2005'!$G14-'OECD Americas 2005'!$H14))</f>
        <v>0</v>
      </c>
      <c r="E126" s="40">
        <f>'OECD Americas 2010'!$E14/IF(('OECD Americas 2010'!$L14-'OECD Americas 2010'!$J14-'OECD Americas 2010'!$K14-'OECD Americas 2010'!$G14-'OECD Americas 2010'!$H14)=0,1,('OECD Americas 2010'!$L14-'OECD Americas 2010'!$J14-'OECD Americas 2010'!$K14-'OECD Americas 2010'!$G14-'OECD Americas 2010'!$H14))</f>
        <v>0</v>
      </c>
      <c r="F126" s="40">
        <f>'OECD Americas 2015'!$E14/IF(('OECD Americas 2015'!$L14-'OECD Americas 2015'!$J14-'OECD Americas 2015'!$K14-'OECD Americas 2015'!$G14-'OECD Americas 2015'!$H14)=0,1,('OECD Americas 2015'!$L14-'OECD Americas 2015'!$J14-'OECD Americas 2015'!$K14-'OECD Americas 2015'!$G14-'OECD Americas 2015'!$H14))</f>
        <v>0</v>
      </c>
      <c r="G126" s="40">
        <f>'OECD Americas 2018'!$E14/IF(('OECD Americas 2018'!$L14-'OECD Americas 2018'!$J14-'OECD Americas 2018'!$K14-'OECD Americas 2018'!$G14-'OECD Americas 2018'!$H14)=0,1,('OECD Americas 2018'!$L14-'OECD Americas 2018'!$J14-'OECD Americas 2018'!$K14-'OECD Americas 2018'!$G14-'OECD Americas 2018'!$H14))</f>
        <v>0</v>
      </c>
      <c r="H126" s="89">
        <f>1-H123-H124-H125-H127-H128</f>
        <v>0</v>
      </c>
      <c r="I126" s="89">
        <f>1-I123-I124-I125-I127-I128</f>
        <v>0</v>
      </c>
    </row>
    <row r="127" spans="1:9" x14ac:dyDescent="0.35">
      <c r="A127" s="30" t="s">
        <v>180</v>
      </c>
      <c r="B127" s="40">
        <f>'OECD Americas 1995'!$F14/IF(('OECD Americas 1995'!$L14-'OECD Americas 1995'!$J14-'OECD Americas 1995'!$K14-'OECD Americas 1995'!$G14-'OECD Americas 1995'!$H14)=0,1,('OECD Americas 1995'!$L14-'OECD Americas 1995'!$J14-'OECD Americas 1995'!$K14-'OECD Americas 1995'!$G14-'OECD Americas 1995'!$H14))</f>
        <v>0</v>
      </c>
      <c r="C127" s="40">
        <f>'OECD Americas 2000'!$F14/IF(('OECD Americas 2000'!$L14-'OECD Americas 2000'!$J14-'OECD Americas 2000'!$K14-'OECD Americas 2000'!$G14-'OECD Americas 2000'!$H14)=0,1,('OECD Americas 2000'!$L14-'OECD Americas 2000'!$J14-'OECD Americas 2000'!$K14-'OECD Americas 2000'!$G14-'OECD Americas 2000'!$H14))</f>
        <v>0</v>
      </c>
      <c r="D127" s="40">
        <f>'OECD Americas 2005'!$F14/IF(('OECD Americas 2005'!$L14-'OECD Americas 2005'!$J14-'OECD Americas 2005'!$K14-'OECD Americas 2005'!$G14-'OECD Americas 2005'!$H14)=0,1,('OECD Americas 2005'!$L14-'OECD Americas 2005'!$J14-'OECD Americas 2005'!$K14-'OECD Americas 2005'!$G14-'OECD Americas 2005'!$H14))</f>
        <v>0</v>
      </c>
      <c r="E127" s="40">
        <f>'OECD Americas 2010'!$F14/IF(('OECD Americas 2010'!$L14-'OECD Americas 2010'!$J14-'OECD Americas 2010'!$K14-'OECD Americas 2010'!$G14-'OECD Americas 2010'!$H14)=0,1,('OECD Americas 2010'!$L14-'OECD Americas 2010'!$J14-'OECD Americas 2010'!$K14-'OECD Americas 2010'!$G14-'OECD Americas 2010'!$H14))</f>
        <v>0</v>
      </c>
      <c r="F127" s="40">
        <f>'OECD Americas 2015'!$F14/IF(('OECD Americas 2015'!$L14-'OECD Americas 2015'!$J14-'OECD Americas 2015'!$K14-'OECD Americas 2015'!$G14-'OECD Americas 2015'!$H14)=0,1,('OECD Americas 2015'!$L14-'OECD Americas 2015'!$J14-'OECD Americas 2015'!$K14-'OECD Americas 2015'!$G14-'OECD Americas 2015'!$H14))</f>
        <v>0</v>
      </c>
      <c r="G127" s="40">
        <f>'OECD Americas 2018'!$F14/IF(('OECD Americas 2018'!$L14-'OECD Americas 2018'!$J14-'OECD Americas 2018'!$K14-'OECD Americas 2018'!$G14-'OECD Americas 2018'!$H14)=0,1,('OECD Americas 2018'!$L14-'OECD Americas 2018'!$J14-'OECD Americas 2018'!$K14-'OECD Americas 2018'!$G14-'OECD Americas 2018'!$H14))</f>
        <v>0</v>
      </c>
      <c r="H127" s="77">
        <f t="shared" si="2"/>
        <v>0</v>
      </c>
      <c r="I127" s="77">
        <f t="shared" si="3"/>
        <v>0</v>
      </c>
    </row>
    <row r="128" spans="1:9" x14ac:dyDescent="0.35">
      <c r="A128" s="30" t="s">
        <v>146</v>
      </c>
      <c r="B128" s="40">
        <f>'OECD Americas 1995'!$I14/IF(('OECD Americas 1995'!$L14-'OECD Americas 1995'!$J14-'OECD Americas 1995'!$K14-'OECD Americas 1995'!$G14-'OECD Americas 1995'!$H14)=0,1,('OECD Americas 1995'!$L14-'OECD Americas 1995'!$J14-'OECD Americas 1995'!$K14-'OECD Americas 1995'!$G14-'OECD Americas 1995'!$H14))</f>
        <v>2.8213166144200628E-2</v>
      </c>
      <c r="C128" s="40">
        <f>'OECD Americas 2000'!$I14/IF(('OECD Americas 2000'!$L14-'OECD Americas 2000'!$J14-'OECD Americas 2000'!$K14-'OECD Americas 2000'!$G14-'OECD Americas 2000'!$H14)=0,1,('OECD Americas 2000'!$L14-'OECD Americas 2000'!$J14-'OECD Americas 2000'!$K14-'OECD Americas 2000'!$G14-'OECD Americas 2000'!$H14))</f>
        <v>1</v>
      </c>
      <c r="D128" s="40">
        <f>'OECD Americas 2005'!$I14/IF(('OECD Americas 2005'!$L14-'OECD Americas 2005'!$J14-'OECD Americas 2005'!$K14-'OECD Americas 2005'!$G14-'OECD Americas 2005'!$H14)=0,1,('OECD Americas 2005'!$L14-'OECD Americas 2005'!$J14-'OECD Americas 2005'!$K14-'OECD Americas 2005'!$G14-'OECD Americas 2005'!$H14))</f>
        <v>0.98611111111111116</v>
      </c>
      <c r="E128" s="40">
        <f>'OECD Americas 2010'!$I14/IF(('OECD Americas 2010'!$L14-'OECD Americas 2010'!$J14-'OECD Americas 2010'!$K14-'OECD Americas 2010'!$G14-'OECD Americas 2010'!$H14)=0,1,('OECD Americas 2010'!$L14-'OECD Americas 2010'!$J14-'OECD Americas 2010'!$K14-'OECD Americas 2010'!$G14-'OECD Americas 2010'!$H14))</f>
        <v>1</v>
      </c>
      <c r="F128" s="40">
        <f>'OECD Americas 2015'!$I14/IF(('OECD Americas 2015'!$L14-'OECD Americas 2015'!$J14-'OECD Americas 2015'!$K14-'OECD Americas 2015'!$G14-'OECD Americas 2015'!$H14)=0,1,('OECD Americas 2015'!$L14-'OECD Americas 2015'!$J14-'OECD Americas 2015'!$K14-'OECD Americas 2015'!$G14-'OECD Americas 2015'!$H14))</f>
        <v>0.99473684210526314</v>
      </c>
      <c r="G128" s="40">
        <f>'OECD Americas 2018'!$I14/IF(('OECD Americas 2018'!$L14-'OECD Americas 2018'!$J14-'OECD Americas 2018'!$K14-'OECD Americas 2018'!$G14-'OECD Americas 2018'!$H14)=0,1,('OECD Americas 2018'!$L14-'OECD Americas 2018'!$J14-'OECD Americas 2018'!$K14-'OECD Americas 2018'!$G14-'OECD Americas 2018'!$H14))</f>
        <v>0.99473684210526314</v>
      </c>
      <c r="H128" s="77">
        <f t="shared" si="2"/>
        <v>0.99473684210526314</v>
      </c>
      <c r="I128" s="77">
        <f t="shared" si="3"/>
        <v>0.99473684210526314</v>
      </c>
    </row>
    <row r="129" spans="1:9" x14ac:dyDescent="0.35">
      <c r="A129" s="32" t="s">
        <v>183</v>
      </c>
      <c r="B129" s="82"/>
      <c r="C129" s="82"/>
      <c r="D129" s="82"/>
      <c r="E129" s="82"/>
      <c r="F129" s="82"/>
      <c r="G129" s="82"/>
      <c r="H129" s="42">
        <f t="shared" si="2"/>
        <v>0</v>
      </c>
      <c r="I129" s="42">
        <f t="shared" si="3"/>
        <v>0</v>
      </c>
    </row>
    <row r="130" spans="1:9" x14ac:dyDescent="0.35">
      <c r="A130" s="30" t="s">
        <v>142</v>
      </c>
      <c r="B130" s="40">
        <v>1</v>
      </c>
      <c r="C130" s="40">
        <v>1</v>
      </c>
      <c r="D130" s="40">
        <v>1</v>
      </c>
      <c r="E130" s="40">
        <v>1</v>
      </c>
      <c r="F130" s="40">
        <v>1</v>
      </c>
      <c r="G130" s="40">
        <v>1</v>
      </c>
      <c r="H130" s="89">
        <f>1-H131</f>
        <v>1</v>
      </c>
      <c r="I130" s="89">
        <f>1-I131</f>
        <v>1</v>
      </c>
    </row>
    <row r="131" spans="1:9" x14ac:dyDescent="0.35">
      <c r="A131" s="30" t="s">
        <v>146</v>
      </c>
      <c r="B131" s="40">
        <v>0</v>
      </c>
      <c r="C131" s="40">
        <v>0</v>
      </c>
      <c r="D131" s="40">
        <v>0</v>
      </c>
      <c r="E131" s="40">
        <v>0</v>
      </c>
      <c r="F131" s="40">
        <v>0</v>
      </c>
      <c r="G131" s="40">
        <v>0</v>
      </c>
      <c r="H131" s="77">
        <f t="shared" si="2"/>
        <v>0</v>
      </c>
      <c r="I131" s="77">
        <f t="shared" si="3"/>
        <v>0</v>
      </c>
    </row>
    <row r="132" spans="1:9" x14ac:dyDescent="0.35">
      <c r="A132" s="30"/>
      <c r="B132" s="40">
        <v>0</v>
      </c>
      <c r="C132" s="40">
        <v>0</v>
      </c>
      <c r="D132" s="40">
        <v>0</v>
      </c>
      <c r="E132" s="40">
        <v>0</v>
      </c>
      <c r="F132" s="40">
        <v>0</v>
      </c>
      <c r="G132" s="40">
        <v>0</v>
      </c>
      <c r="H132" s="77">
        <f t="shared" si="2"/>
        <v>0</v>
      </c>
      <c r="I132" s="77">
        <f t="shared" si="3"/>
        <v>0</v>
      </c>
    </row>
    <row r="133" spans="1:9" x14ac:dyDescent="0.35">
      <c r="A133" s="32" t="s">
        <v>184</v>
      </c>
      <c r="B133" s="42"/>
      <c r="C133" s="42"/>
      <c r="D133" s="42"/>
      <c r="E133" s="42"/>
      <c r="F133" s="42"/>
      <c r="G133" s="42"/>
      <c r="H133" s="42">
        <f t="shared" si="2"/>
        <v>0</v>
      </c>
      <c r="I133" s="42">
        <f t="shared" si="3"/>
        <v>0</v>
      </c>
    </row>
    <row r="134" spans="1:9" x14ac:dyDescent="0.35">
      <c r="A134" s="30" t="s">
        <v>185</v>
      </c>
      <c r="H134" s="77">
        <f t="shared" ref="H134:H137" si="7">G134</f>
        <v>0</v>
      </c>
      <c r="I134" s="77">
        <f t="shared" si="3"/>
        <v>0</v>
      </c>
    </row>
    <row r="135" spans="1:9" x14ac:dyDescent="0.35">
      <c r="A135" s="30" t="s">
        <v>186</v>
      </c>
      <c r="H135" s="77">
        <f t="shared" si="7"/>
        <v>0</v>
      </c>
      <c r="I135" s="77">
        <f t="shared" si="3"/>
        <v>0</v>
      </c>
    </row>
    <row r="136" spans="1:9" x14ac:dyDescent="0.35">
      <c r="A136" s="30" t="s">
        <v>245</v>
      </c>
      <c r="H136" s="77">
        <f t="shared" si="7"/>
        <v>0</v>
      </c>
      <c r="I136" s="77">
        <f t="shared" si="3"/>
        <v>0</v>
      </c>
    </row>
    <row r="137" spans="1:9" x14ac:dyDescent="0.35">
      <c r="A137" s="30" t="s">
        <v>188</v>
      </c>
      <c r="H137" s="77">
        <f t="shared" si="7"/>
        <v>0</v>
      </c>
      <c r="I137" s="77">
        <f t="shared" si="3"/>
        <v>0</v>
      </c>
    </row>
    <row r="138" spans="1:9" x14ac:dyDescent="0.35">
      <c r="A138" s="32" t="s">
        <v>189</v>
      </c>
      <c r="B138" s="42"/>
      <c r="C138" s="42"/>
      <c r="D138" s="42"/>
      <c r="E138" s="42"/>
      <c r="F138" s="42"/>
      <c r="G138" s="42"/>
      <c r="H138" s="42"/>
      <c r="I138" s="42"/>
    </row>
    <row r="139" spans="1:9" x14ac:dyDescent="0.35">
      <c r="A139" s="30" t="s">
        <v>190</v>
      </c>
      <c r="G139" s="94">
        <v>0.8</v>
      </c>
      <c r="H139" s="93">
        <f>G139</f>
        <v>0.8</v>
      </c>
      <c r="I139" s="77">
        <f t="shared" ref="I139:I142" si="8">H139</f>
        <v>0.8</v>
      </c>
    </row>
    <row r="140" spans="1:9" x14ac:dyDescent="0.35">
      <c r="A140" s="30" t="s">
        <v>191</v>
      </c>
      <c r="G140" s="94">
        <v>0.3</v>
      </c>
      <c r="H140" s="93">
        <f t="shared" ref="H140:H142" si="9">G140</f>
        <v>0.3</v>
      </c>
      <c r="I140" s="77">
        <f t="shared" si="8"/>
        <v>0.3</v>
      </c>
    </row>
    <row r="141" spans="1:9" x14ac:dyDescent="0.35">
      <c r="A141" s="30" t="s">
        <v>192</v>
      </c>
      <c r="G141" s="94">
        <v>0.95</v>
      </c>
      <c r="H141" s="93">
        <f t="shared" si="9"/>
        <v>0.95</v>
      </c>
      <c r="I141" s="77">
        <f t="shared" si="8"/>
        <v>0.95</v>
      </c>
    </row>
    <row r="142" spans="1:9" x14ac:dyDescent="0.35">
      <c r="A142" s="30" t="s">
        <v>193</v>
      </c>
      <c r="G142" s="94">
        <v>1</v>
      </c>
      <c r="H142" s="93">
        <f t="shared" si="9"/>
        <v>1</v>
      </c>
      <c r="I142" s="77">
        <f t="shared" si="8"/>
        <v>1</v>
      </c>
    </row>
  </sheetData>
  <mergeCells count="1">
    <mergeCell ref="B3:I3"/>
  </mergeCells>
  <pageMargins left="0.7" right="0.7" top="0.75" bottom="0.75" header="0.3" footer="0.3"/>
  <pageSetup paperSize="9" orientation="portrait" horizontalDpi="4294967293" verticalDpi="4294967293" r:id="rId1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0BD4A8-A19B-4734-A43B-CAE467D89A6F}">
  <sheetPr>
    <tabColor theme="9" tint="-0.499984740745262"/>
  </sheetPr>
  <dimension ref="A1:BQ61"/>
  <sheetViews>
    <sheetView topLeftCell="A35" workbookViewId="0">
      <selection activeCell="G67" sqref="G67"/>
    </sheetView>
  </sheetViews>
  <sheetFormatPr defaultRowHeight="14.5" x14ac:dyDescent="0.35"/>
  <cols>
    <col min="1" max="1" width="44.26953125" bestFit="1" customWidth="1"/>
    <col min="2" max="6" width="14.26953125" customWidth="1"/>
    <col min="8" max="8" width="30.26953125" customWidth="1"/>
  </cols>
  <sheetData>
    <row r="1" spans="1:54" ht="28.5" customHeight="1" x14ac:dyDescent="0.45">
      <c r="A1" s="118" t="s">
        <v>194</v>
      </c>
      <c r="B1" s="118"/>
      <c r="C1" s="118"/>
      <c r="D1" s="118"/>
      <c r="E1" s="118"/>
      <c r="F1" s="118"/>
    </row>
    <row r="2" spans="1:54" x14ac:dyDescent="0.35">
      <c r="A2" s="114" t="s">
        <v>195</v>
      </c>
      <c r="B2" s="114">
        <v>2018</v>
      </c>
      <c r="C2" s="114">
        <v>2030</v>
      </c>
      <c r="D2" s="114">
        <v>2050</v>
      </c>
      <c r="E2" s="114">
        <v>2075</v>
      </c>
      <c r="F2" s="114">
        <v>2100</v>
      </c>
      <c r="G2" s="114" t="s">
        <v>195</v>
      </c>
      <c r="H2" s="114">
        <v>2018</v>
      </c>
      <c r="I2" s="114">
        <v>2030</v>
      </c>
      <c r="J2" s="114">
        <v>2050</v>
      </c>
      <c r="K2" s="114">
        <v>2075</v>
      </c>
      <c r="L2" s="114">
        <v>2100</v>
      </c>
      <c r="M2" s="114" t="s">
        <v>195</v>
      </c>
      <c r="N2" s="114">
        <v>2018</v>
      </c>
      <c r="O2" s="114">
        <v>2030</v>
      </c>
      <c r="P2" s="114">
        <v>2050</v>
      </c>
      <c r="Q2" s="114">
        <v>2075</v>
      </c>
      <c r="R2" s="114">
        <v>2100</v>
      </c>
      <c r="S2" s="114" t="s">
        <v>195</v>
      </c>
      <c r="T2" s="114">
        <v>2018</v>
      </c>
      <c r="U2" s="114">
        <v>2030</v>
      </c>
      <c r="V2" s="114">
        <v>2050</v>
      </c>
      <c r="W2" s="114">
        <v>2075</v>
      </c>
      <c r="X2" s="114">
        <v>2100</v>
      </c>
      <c r="Y2" s="114" t="s">
        <v>195</v>
      </c>
      <c r="Z2" s="114">
        <v>2018</v>
      </c>
      <c r="AA2" s="114">
        <v>2030</v>
      </c>
      <c r="AB2" s="114">
        <v>2050</v>
      </c>
      <c r="AC2" s="114">
        <v>2075</v>
      </c>
      <c r="AD2" s="114">
        <v>2100</v>
      </c>
      <c r="AE2" s="114" t="s">
        <v>195</v>
      </c>
      <c r="AF2" s="114">
        <v>2018</v>
      </c>
      <c r="AG2" s="114">
        <v>2030</v>
      </c>
      <c r="AH2" s="114">
        <v>2050</v>
      </c>
      <c r="AI2" s="114">
        <v>2075</v>
      </c>
      <c r="AJ2" s="114">
        <v>2100</v>
      </c>
      <c r="AK2" s="114" t="s">
        <v>195</v>
      </c>
      <c r="AL2" s="114">
        <v>2018</v>
      </c>
      <c r="AM2" s="114">
        <v>2030</v>
      </c>
      <c r="AN2" s="114">
        <v>2050</v>
      </c>
      <c r="AO2" s="114">
        <v>2075</v>
      </c>
      <c r="AP2" s="114">
        <v>2100</v>
      </c>
      <c r="AQ2" s="114" t="s">
        <v>195</v>
      </c>
      <c r="AR2" s="114">
        <v>2018</v>
      </c>
      <c r="AS2" s="114">
        <v>2030</v>
      </c>
      <c r="AT2" s="114">
        <v>2050</v>
      </c>
      <c r="AU2" s="114">
        <v>2075</v>
      </c>
      <c r="AV2" s="114">
        <v>2100</v>
      </c>
      <c r="AW2" s="114" t="s">
        <v>195</v>
      </c>
      <c r="AX2" s="114">
        <v>2018</v>
      </c>
      <c r="AY2" s="114">
        <v>2030</v>
      </c>
      <c r="AZ2" s="114">
        <v>2050</v>
      </c>
      <c r="BA2" s="114">
        <v>2075</v>
      </c>
      <c r="BB2" s="114">
        <v>2100</v>
      </c>
    </row>
    <row r="3" spans="1:54" x14ac:dyDescent="0.35">
      <c r="A3" s="119" t="s">
        <v>122</v>
      </c>
      <c r="B3" s="119"/>
      <c r="C3" s="119"/>
      <c r="D3" s="119"/>
      <c r="E3" s="119"/>
      <c r="F3" s="119"/>
      <c r="H3" s="119" t="s">
        <v>123</v>
      </c>
      <c r="I3" s="119"/>
      <c r="J3" s="119"/>
      <c r="K3" s="119"/>
      <c r="L3" s="119"/>
      <c r="N3" s="119" t="s">
        <v>124</v>
      </c>
      <c r="O3" s="119"/>
      <c r="P3" s="119"/>
      <c r="Q3" s="119"/>
      <c r="R3" s="119"/>
      <c r="T3" s="119" t="s">
        <v>270</v>
      </c>
      <c r="U3" s="119"/>
      <c r="V3" s="119"/>
      <c r="W3" s="119"/>
      <c r="X3" s="119"/>
      <c r="Z3" s="119" t="s">
        <v>119</v>
      </c>
      <c r="AA3" s="119"/>
      <c r="AB3" s="119"/>
      <c r="AC3" s="119"/>
      <c r="AD3" s="119"/>
      <c r="AF3" s="119" t="s">
        <v>271</v>
      </c>
      <c r="AG3" s="119"/>
      <c r="AH3" s="119"/>
      <c r="AI3" s="119"/>
      <c r="AJ3" s="119"/>
      <c r="AL3" s="119" t="s">
        <v>126</v>
      </c>
      <c r="AM3" s="119"/>
      <c r="AN3" s="119"/>
      <c r="AO3" s="119"/>
      <c r="AP3" s="119"/>
      <c r="AR3" s="119" t="s">
        <v>127</v>
      </c>
      <c r="AS3" s="119"/>
      <c r="AT3" s="119"/>
      <c r="AU3" s="119"/>
      <c r="AV3" s="119"/>
      <c r="AX3" s="119" t="s">
        <v>125</v>
      </c>
      <c r="AY3" s="119"/>
      <c r="AZ3" s="119"/>
      <c r="BA3" s="119"/>
      <c r="BB3" s="119"/>
    </row>
    <row r="4" spans="1:54" ht="16.5" x14ac:dyDescent="0.45">
      <c r="A4" s="106" t="s">
        <v>250</v>
      </c>
      <c r="B4" s="76">
        <f>' KF Middle East'!G1</f>
        <v>1729.167048</v>
      </c>
      <c r="C4" s="76">
        <f>' KF Middle East'!H1</f>
        <v>1667.9301515452057</v>
      </c>
      <c r="D4" s="76">
        <f>' KF Middle East'!I1</f>
        <v>1667.9301515452057</v>
      </c>
      <c r="E4" s="107">
        <f>D4</f>
        <v>1667.9301515452057</v>
      </c>
      <c r="F4" s="107">
        <f>D4</f>
        <v>1667.9301515452057</v>
      </c>
      <c r="H4" s="76">
        <f>' KF Africa'!G1</f>
        <v>1273.4004610239999</v>
      </c>
      <c r="I4" s="76">
        <f>' KF Africa'!H1</f>
        <v>1283.6217425115954</v>
      </c>
      <c r="J4" s="76">
        <f>' KF Africa'!I1</f>
        <v>1283.6217425115954</v>
      </c>
      <c r="K4" s="107">
        <f>J4</f>
        <v>1283.6217425115954</v>
      </c>
      <c r="L4" s="107">
        <f>J4</f>
        <v>1283.6217425115954</v>
      </c>
      <c r="N4" s="76">
        <f>' KF China'!G1</f>
        <v>9107.7579321600006</v>
      </c>
      <c r="O4" s="76">
        <f>' KF China'!H1</f>
        <v>9164.4891828209966</v>
      </c>
      <c r="P4" s="76">
        <f>' KF China'!I1</f>
        <v>9164.4891828209966</v>
      </c>
      <c r="Q4" s="107">
        <f>P4</f>
        <v>9164.4891828209966</v>
      </c>
      <c r="R4" s="107">
        <f>P4</f>
        <v>9164.4891828209966</v>
      </c>
      <c r="T4" s="76">
        <f>' KF Asia excluding China'!G1</f>
        <v>4422.6142239199999</v>
      </c>
      <c r="U4" s="76">
        <f>' KF Asia excluding China'!H1</f>
        <v>4411.0186679847975</v>
      </c>
      <c r="V4" s="76">
        <f>' KF Asia excluding China'!I1</f>
        <v>4411.0186679847975</v>
      </c>
      <c r="W4" s="107">
        <f>V4</f>
        <v>4411.0186679847975</v>
      </c>
      <c r="X4" s="107">
        <f>V4</f>
        <v>4411.0186679847975</v>
      </c>
      <c r="Z4" s="76">
        <f>' KF Non-OECD Americas'!G1</f>
        <v>1049.995419808</v>
      </c>
      <c r="AA4" s="76">
        <f>' KF Non-OECD Americas'!H1</f>
        <v>1042.2951506171628</v>
      </c>
      <c r="AB4" s="76">
        <f>' KF Non-OECD Americas'!I1</f>
        <v>1042.2951506171628</v>
      </c>
      <c r="AC4" s="107">
        <f>AB4</f>
        <v>1042.2951506171628</v>
      </c>
      <c r="AD4" s="107">
        <f>AB4</f>
        <v>1042.2951506171628</v>
      </c>
      <c r="AF4" s="76">
        <f>' KF Non-OECD Europe Eurasia '!G1</f>
        <v>2457.3822611200003</v>
      </c>
      <c r="AG4" s="76">
        <f>' KF Non-OECD Europe Eurasia '!H1</f>
        <v>2450.9176530805003</v>
      </c>
      <c r="AH4" s="76">
        <f>' KF Non-OECD Europe Eurasia '!I1</f>
        <v>2450.9176530805003</v>
      </c>
      <c r="AI4" s="107">
        <f>AH4</f>
        <v>2450.9176530805003</v>
      </c>
      <c r="AJ4" s="107">
        <f>AH4</f>
        <v>2450.9176530805003</v>
      </c>
      <c r="AL4" s="76">
        <f>' KF OECD Europe'!G1</f>
        <v>3376.4924247039999</v>
      </c>
      <c r="AM4" s="76">
        <f>' KF OECD Europe'!H1</f>
        <v>3382.0166462447278</v>
      </c>
      <c r="AN4" s="76">
        <f>' KF OECD Europe'!I1</f>
        <v>3382.0166462447278</v>
      </c>
      <c r="AO4" s="107">
        <f>AN4</f>
        <v>3382.0166462447278</v>
      </c>
      <c r="AP4" s="107">
        <f>AN4</f>
        <v>3382.0166462447278</v>
      </c>
      <c r="AR4" s="76">
        <f>' KF OECD Asia Oceania'!G1</f>
        <v>2060.989709552</v>
      </c>
      <c r="AS4" s="76">
        <f>' KF OECD Asia Oceania'!H1</f>
        <v>2051.6771156172995</v>
      </c>
      <c r="AT4" s="76">
        <f>' KF OECD Asia Oceania'!I1</f>
        <v>2051.6771156172995</v>
      </c>
      <c r="AU4" s="107">
        <f>AT4</f>
        <v>2051.6771156172995</v>
      </c>
      <c r="AV4" s="107">
        <f>AT4</f>
        <v>2051.6771156172995</v>
      </c>
      <c r="AX4" s="76">
        <f>' KF OECD Americas'!G1</f>
        <v>6174.7890984800006</v>
      </c>
      <c r="AY4" s="76">
        <f>' KF OECD Americas'!H1</f>
        <v>6180.7936612257345</v>
      </c>
      <c r="AZ4" s="76">
        <f>' KF OECD Americas'!I1</f>
        <v>6180.7936612257345</v>
      </c>
      <c r="BA4" s="107">
        <f>AZ4</f>
        <v>6180.7936612257345</v>
      </c>
      <c r="BB4" s="107">
        <f>AZ4</f>
        <v>6180.7936612257345</v>
      </c>
    </row>
    <row r="6" spans="1:54" ht="16.5" x14ac:dyDescent="0.45">
      <c r="A6" t="s">
        <v>198</v>
      </c>
      <c r="B6" s="105">
        <v>0.74</v>
      </c>
      <c r="C6" s="105">
        <v>0.74</v>
      </c>
      <c r="D6" s="105">
        <v>0.74</v>
      </c>
      <c r="E6" s="105">
        <v>0.74</v>
      </c>
      <c r="F6" s="105">
        <v>0.74</v>
      </c>
      <c r="H6" s="105">
        <v>0.74</v>
      </c>
      <c r="I6" s="105">
        <v>0.74</v>
      </c>
      <c r="J6" s="105">
        <v>0.74</v>
      </c>
      <c r="K6" s="105">
        <v>0.74</v>
      </c>
      <c r="L6" s="105">
        <v>0.74</v>
      </c>
      <c r="N6" s="105">
        <v>0.74</v>
      </c>
      <c r="O6" s="105">
        <v>0.74</v>
      </c>
      <c r="P6" s="105">
        <v>0.74</v>
      </c>
      <c r="Q6" s="105">
        <v>0.74</v>
      </c>
      <c r="R6" s="105">
        <v>0.74</v>
      </c>
      <c r="T6" s="105">
        <v>0.74</v>
      </c>
      <c r="U6" s="105">
        <v>0.74</v>
      </c>
      <c r="V6" s="105">
        <v>0.74</v>
      </c>
      <c r="W6" s="105">
        <v>0.74</v>
      </c>
      <c r="X6" s="105">
        <v>0.74</v>
      </c>
      <c r="Z6" s="105">
        <v>0.74</v>
      </c>
      <c r="AA6" s="105">
        <v>0.74</v>
      </c>
      <c r="AB6" s="105">
        <v>0.74</v>
      </c>
      <c r="AC6" s="105">
        <v>0.74</v>
      </c>
      <c r="AD6" s="105">
        <v>0.74</v>
      </c>
      <c r="AF6" s="105">
        <v>0.74</v>
      </c>
      <c r="AG6" s="105">
        <v>0.74</v>
      </c>
      <c r="AH6" s="105">
        <v>0.74</v>
      </c>
      <c r="AI6" s="105">
        <v>0.74</v>
      </c>
      <c r="AJ6" s="105">
        <v>0.74</v>
      </c>
      <c r="AL6" s="105">
        <v>0.74</v>
      </c>
      <c r="AM6" s="105">
        <v>0.74</v>
      </c>
      <c r="AN6" s="105">
        <v>0.74</v>
      </c>
      <c r="AO6" s="105">
        <v>0.74</v>
      </c>
      <c r="AP6" s="105">
        <v>0.74</v>
      </c>
      <c r="AR6" s="105">
        <v>0.74</v>
      </c>
      <c r="AS6" s="105">
        <v>0.74</v>
      </c>
      <c r="AT6" s="105">
        <v>0.74</v>
      </c>
      <c r="AU6" s="105">
        <v>0.74</v>
      </c>
      <c r="AV6" s="105">
        <v>0.74</v>
      </c>
      <c r="AX6" s="105">
        <v>0.74</v>
      </c>
      <c r="AY6" s="105">
        <v>0.74</v>
      </c>
      <c r="AZ6" s="105">
        <v>0.74</v>
      </c>
      <c r="BA6" s="105">
        <v>0.74</v>
      </c>
      <c r="BB6" s="105">
        <v>0.74</v>
      </c>
    </row>
    <row r="8" spans="1:54" ht="16.5" x14ac:dyDescent="0.45">
      <c r="A8" t="s">
        <v>199</v>
      </c>
      <c r="B8" s="75">
        <f>I43</f>
        <v>2336.712227027027</v>
      </c>
      <c r="C8" s="75">
        <f t="shared" ref="C8:F8" si="0">J43</f>
        <v>2253.9596642502779</v>
      </c>
      <c r="D8" s="75">
        <f t="shared" si="0"/>
        <v>2253.9596642502779</v>
      </c>
      <c r="E8" s="75">
        <f t="shared" si="0"/>
        <v>2253.9596642502779</v>
      </c>
      <c r="F8" s="75">
        <f t="shared" si="0"/>
        <v>2253.9596642502779</v>
      </c>
      <c r="H8" s="75">
        <f>P43</f>
        <v>1720.8114338162161</v>
      </c>
      <c r="I8" s="75">
        <f t="shared" ref="I8:L8" si="1">Q43</f>
        <v>1734.6239763670208</v>
      </c>
      <c r="J8" s="75">
        <f t="shared" si="1"/>
        <v>1734.6239763670208</v>
      </c>
      <c r="K8" s="75">
        <f t="shared" si="1"/>
        <v>1734.6239763670208</v>
      </c>
      <c r="L8" s="75">
        <f t="shared" si="1"/>
        <v>1734.6239763670208</v>
      </c>
      <c r="N8" s="75">
        <f>W43</f>
        <v>12307.780989405406</v>
      </c>
      <c r="O8" s="75">
        <f t="shared" ref="O8:R8" si="2">X43</f>
        <v>12384.444841649996</v>
      </c>
      <c r="P8" s="75">
        <f t="shared" si="2"/>
        <v>12384.444841649996</v>
      </c>
      <c r="Q8" s="75">
        <f t="shared" si="2"/>
        <v>12384.444841649996</v>
      </c>
      <c r="R8" s="75">
        <f t="shared" si="2"/>
        <v>12384.444841649996</v>
      </c>
      <c r="T8" s="75">
        <f>AD43</f>
        <v>5976.5057079999997</v>
      </c>
      <c r="U8" s="75">
        <f t="shared" ref="U8:X8" si="3">AE43</f>
        <v>5960.8360378172938</v>
      </c>
      <c r="V8" s="75">
        <f t="shared" si="3"/>
        <v>5960.8360378172938</v>
      </c>
      <c r="W8" s="75">
        <f t="shared" si="3"/>
        <v>5960.8360378172938</v>
      </c>
      <c r="X8" s="75">
        <f t="shared" si="3"/>
        <v>5960.8360378172938</v>
      </c>
      <c r="Z8" s="75">
        <f>AK43</f>
        <v>1418.9127294702703</v>
      </c>
      <c r="AA8" s="75">
        <f t="shared" ref="AA8:AD8" si="4">AL43</f>
        <v>1408.5069602934632</v>
      </c>
      <c r="AB8" s="75">
        <f t="shared" si="4"/>
        <v>1408.5069602934632</v>
      </c>
      <c r="AC8" s="75">
        <f t="shared" si="4"/>
        <v>1408.5069602934632</v>
      </c>
      <c r="AD8" s="75">
        <f t="shared" si="4"/>
        <v>1408.5069602934632</v>
      </c>
      <c r="AF8" s="75">
        <f>AR43</f>
        <v>3320.7868393513518</v>
      </c>
      <c r="AG8" s="75">
        <f t="shared" ref="AG8:AJ8" si="5">AS43</f>
        <v>3312.0508825412167</v>
      </c>
      <c r="AH8" s="75">
        <f t="shared" si="5"/>
        <v>3312.0508825412167</v>
      </c>
      <c r="AI8" s="75">
        <f t="shared" si="5"/>
        <v>3312.0508825412167</v>
      </c>
      <c r="AJ8" s="75">
        <f t="shared" si="5"/>
        <v>3312.0508825412167</v>
      </c>
      <c r="AL8" s="75">
        <f>AY43</f>
        <v>4562.8276009513511</v>
      </c>
      <c r="AM8" s="75">
        <f t="shared" ref="AM8:AP8" si="6">AZ43</f>
        <v>4570.2927651955779</v>
      </c>
      <c r="AN8" s="75">
        <f t="shared" si="6"/>
        <v>4570.2927651955779</v>
      </c>
      <c r="AO8" s="75">
        <f t="shared" si="6"/>
        <v>4570.2927651955779</v>
      </c>
      <c r="AP8" s="75">
        <f t="shared" si="6"/>
        <v>4570.2927651955779</v>
      </c>
      <c r="AR8" s="75">
        <f>BF43</f>
        <v>2785.1212291243246</v>
      </c>
      <c r="AS8" s="75">
        <f t="shared" ref="AS8:AV8" si="7">BG43</f>
        <v>2772.5366427260806</v>
      </c>
      <c r="AT8" s="75">
        <f t="shared" si="7"/>
        <v>2772.5366427260806</v>
      </c>
      <c r="AU8" s="75">
        <f t="shared" si="7"/>
        <v>2772.5366427260806</v>
      </c>
      <c r="AV8" s="75">
        <f t="shared" si="7"/>
        <v>2772.5366427260806</v>
      </c>
      <c r="AX8" s="75">
        <f>BM43</f>
        <v>8344.3095925405414</v>
      </c>
      <c r="AY8" s="75">
        <f t="shared" ref="AY8:BB8" si="8">BN43</f>
        <v>8352.4238665212633</v>
      </c>
      <c r="AZ8" s="75">
        <f t="shared" si="8"/>
        <v>8352.4238665212633</v>
      </c>
      <c r="BA8" s="75">
        <f t="shared" si="8"/>
        <v>8352.4238665212633</v>
      </c>
      <c r="BB8" s="75">
        <f t="shared" si="8"/>
        <v>8352.4238665212633</v>
      </c>
    </row>
    <row r="11" spans="1:54" x14ac:dyDescent="0.35">
      <c r="B11" s="103"/>
      <c r="C11" t="s">
        <v>196</v>
      </c>
      <c r="J11" s="75"/>
    </row>
    <row r="37" spans="1:69" x14ac:dyDescent="0.35">
      <c r="A37" s="102" t="s">
        <v>200</v>
      </c>
      <c r="B37" s="102"/>
      <c r="C37" s="102"/>
      <c r="D37" s="102"/>
      <c r="E37" s="102"/>
      <c r="F37" s="102"/>
      <c r="G37" s="102"/>
      <c r="H37" s="102"/>
      <c r="I37" s="102"/>
    </row>
    <row r="38" spans="1:69" x14ac:dyDescent="0.35">
      <c r="A38" s="117" t="s">
        <v>252</v>
      </c>
      <c r="B38" s="117"/>
      <c r="C38" s="117"/>
      <c r="D38" s="117"/>
      <c r="E38" s="117"/>
      <c r="F38" s="117"/>
      <c r="H38" s="117" t="s">
        <v>122</v>
      </c>
      <c r="I38" s="117"/>
      <c r="J38" s="117"/>
      <c r="K38" s="117"/>
      <c r="L38" s="117"/>
      <c r="M38" s="117"/>
      <c r="O38" s="117" t="s">
        <v>123</v>
      </c>
      <c r="P38" s="117"/>
      <c r="Q38" s="117"/>
      <c r="R38" s="117"/>
      <c r="S38" s="117"/>
      <c r="T38" s="117"/>
      <c r="V38" s="117" t="s">
        <v>124</v>
      </c>
      <c r="W38" s="117"/>
      <c r="X38" s="117"/>
      <c r="Y38" s="117"/>
      <c r="Z38" s="117"/>
      <c r="AA38" s="117"/>
      <c r="AC38" s="117" t="s">
        <v>272</v>
      </c>
      <c r="AD38" s="117"/>
      <c r="AE38" s="117"/>
      <c r="AF38" s="117"/>
      <c r="AG38" s="117"/>
      <c r="AH38" s="117"/>
      <c r="AJ38" s="117" t="s">
        <v>119</v>
      </c>
      <c r="AK38" s="117"/>
      <c r="AL38" s="117"/>
      <c r="AM38" s="117"/>
      <c r="AN38" s="117"/>
      <c r="AO38" s="117"/>
      <c r="AQ38" s="117" t="s">
        <v>273</v>
      </c>
      <c r="AR38" s="117"/>
      <c r="AS38" s="117"/>
      <c r="AT38" s="117"/>
      <c r="AU38" s="117"/>
      <c r="AV38" s="117"/>
      <c r="AX38" s="117" t="s">
        <v>126</v>
      </c>
      <c r="AY38" s="117"/>
      <c r="AZ38" s="117"/>
      <c r="BA38" s="117"/>
      <c r="BB38" s="117"/>
      <c r="BC38" s="117"/>
      <c r="BE38" s="117" t="s">
        <v>127</v>
      </c>
      <c r="BF38" s="117"/>
      <c r="BG38" s="117"/>
      <c r="BH38" s="117"/>
      <c r="BI38" s="117"/>
      <c r="BJ38" s="117"/>
      <c r="BL38" s="117" t="s">
        <v>125</v>
      </c>
      <c r="BM38" s="117"/>
      <c r="BN38" s="117"/>
      <c r="BO38" s="117"/>
      <c r="BP38" s="117"/>
      <c r="BQ38" s="117"/>
    </row>
    <row r="39" spans="1:69" x14ac:dyDescent="0.35">
      <c r="A39" s="30" t="s">
        <v>195</v>
      </c>
      <c r="B39">
        <v>2018</v>
      </c>
      <c r="C39">
        <v>2030</v>
      </c>
      <c r="D39">
        <v>2050</v>
      </c>
      <c r="E39">
        <v>2075</v>
      </c>
      <c r="F39">
        <v>2100</v>
      </c>
      <c r="H39" s="30" t="s">
        <v>195</v>
      </c>
      <c r="I39">
        <v>2018</v>
      </c>
      <c r="J39">
        <v>2030</v>
      </c>
      <c r="K39">
        <v>2050</v>
      </c>
      <c r="L39">
        <v>2075</v>
      </c>
      <c r="M39">
        <v>2100</v>
      </c>
      <c r="O39" s="30" t="s">
        <v>195</v>
      </c>
      <c r="P39">
        <v>2018</v>
      </c>
      <c r="Q39">
        <v>2030</v>
      </c>
      <c r="R39">
        <v>2050</v>
      </c>
      <c r="S39">
        <v>2075</v>
      </c>
      <c r="T39">
        <v>2100</v>
      </c>
      <c r="V39" s="30" t="s">
        <v>195</v>
      </c>
      <c r="W39">
        <v>2018</v>
      </c>
      <c r="X39">
        <v>2030</v>
      </c>
      <c r="Y39">
        <v>2050</v>
      </c>
      <c r="Z39">
        <v>2075</v>
      </c>
      <c r="AA39">
        <v>2100</v>
      </c>
      <c r="AC39" s="30" t="s">
        <v>195</v>
      </c>
      <c r="AD39">
        <v>2018</v>
      </c>
      <c r="AE39">
        <v>2030</v>
      </c>
      <c r="AF39">
        <v>2050</v>
      </c>
      <c r="AG39">
        <v>2075</v>
      </c>
      <c r="AH39">
        <v>2100</v>
      </c>
      <c r="AJ39" s="30" t="s">
        <v>195</v>
      </c>
      <c r="AK39">
        <v>2018</v>
      </c>
      <c r="AL39">
        <v>2030</v>
      </c>
      <c r="AM39">
        <v>2050</v>
      </c>
      <c r="AN39">
        <v>2075</v>
      </c>
      <c r="AO39">
        <v>2100</v>
      </c>
      <c r="AQ39" s="30" t="s">
        <v>195</v>
      </c>
      <c r="AR39">
        <v>2018</v>
      </c>
      <c r="AS39">
        <v>2030</v>
      </c>
      <c r="AT39">
        <v>2050</v>
      </c>
      <c r="AU39">
        <v>2075</v>
      </c>
      <c r="AV39">
        <v>2100</v>
      </c>
      <c r="AX39" s="30" t="s">
        <v>195</v>
      </c>
      <c r="AY39">
        <v>2018</v>
      </c>
      <c r="AZ39">
        <v>2030</v>
      </c>
      <c r="BA39">
        <v>2050</v>
      </c>
      <c r="BB39">
        <v>2075</v>
      </c>
      <c r="BC39">
        <v>2100</v>
      </c>
      <c r="BE39" s="30" t="s">
        <v>195</v>
      </c>
      <c r="BF39">
        <v>2018</v>
      </c>
      <c r="BG39">
        <v>2030</v>
      </c>
      <c r="BH39">
        <v>2050</v>
      </c>
      <c r="BI39">
        <v>2075</v>
      </c>
      <c r="BJ39">
        <v>2100</v>
      </c>
      <c r="BL39" s="30" t="s">
        <v>195</v>
      </c>
      <c r="BM39">
        <v>2018</v>
      </c>
      <c r="BN39">
        <v>2030</v>
      </c>
      <c r="BO39">
        <v>2050</v>
      </c>
      <c r="BP39">
        <v>2075</v>
      </c>
      <c r="BQ39">
        <v>2100</v>
      </c>
    </row>
    <row r="40" spans="1:69" x14ac:dyDescent="0.35">
      <c r="A40" s="30"/>
      <c r="B40" s="40"/>
      <c r="C40" s="40"/>
      <c r="D40" s="40"/>
      <c r="E40" s="40"/>
      <c r="F40" s="40"/>
      <c r="H40" s="30" t="s">
        <v>201</v>
      </c>
      <c r="I40" s="40">
        <f>B6</f>
        <v>0.74</v>
      </c>
      <c r="J40" s="40">
        <f>C6</f>
        <v>0.74</v>
      </c>
      <c r="K40" s="40">
        <f>D6</f>
        <v>0.74</v>
      </c>
      <c r="L40" s="40">
        <f>E6</f>
        <v>0.74</v>
      </c>
      <c r="M40" s="40">
        <f>F6</f>
        <v>0.74</v>
      </c>
      <c r="O40" s="30" t="s">
        <v>201</v>
      </c>
      <c r="P40" s="40">
        <f>H6</f>
        <v>0.74</v>
      </c>
      <c r="Q40" s="40">
        <f>I6</f>
        <v>0.74</v>
      </c>
      <c r="R40" s="40">
        <f>J6</f>
        <v>0.74</v>
      </c>
      <c r="S40" s="40">
        <f>K6</f>
        <v>0.74</v>
      </c>
      <c r="T40" s="40">
        <f>L6</f>
        <v>0.74</v>
      </c>
      <c r="V40" s="30" t="s">
        <v>201</v>
      </c>
      <c r="W40" s="40">
        <f>N6</f>
        <v>0.74</v>
      </c>
      <c r="X40" s="40">
        <f t="shared" ref="X40:AA40" si="9">O6</f>
        <v>0.74</v>
      </c>
      <c r="Y40" s="40">
        <f t="shared" si="9"/>
        <v>0.74</v>
      </c>
      <c r="Z40" s="40">
        <f t="shared" si="9"/>
        <v>0.74</v>
      </c>
      <c r="AA40" s="40">
        <f t="shared" si="9"/>
        <v>0.74</v>
      </c>
      <c r="AC40" s="30" t="s">
        <v>201</v>
      </c>
      <c r="AD40" s="40">
        <f>T6</f>
        <v>0.74</v>
      </c>
      <c r="AE40" s="40">
        <f t="shared" ref="AE40:AH40" si="10">U6</f>
        <v>0.74</v>
      </c>
      <c r="AF40" s="40">
        <f t="shared" si="10"/>
        <v>0.74</v>
      </c>
      <c r="AG40" s="40">
        <f t="shared" si="10"/>
        <v>0.74</v>
      </c>
      <c r="AH40" s="40">
        <f t="shared" si="10"/>
        <v>0.74</v>
      </c>
      <c r="AJ40" s="30" t="s">
        <v>201</v>
      </c>
      <c r="AK40" s="40">
        <f>Z6</f>
        <v>0.74</v>
      </c>
      <c r="AL40" s="40">
        <f t="shared" ref="AL40:AO40" si="11">AA6</f>
        <v>0.74</v>
      </c>
      <c r="AM40" s="40">
        <f t="shared" si="11"/>
        <v>0.74</v>
      </c>
      <c r="AN40" s="40">
        <f t="shared" si="11"/>
        <v>0.74</v>
      </c>
      <c r="AO40" s="40">
        <f t="shared" si="11"/>
        <v>0.74</v>
      </c>
      <c r="AQ40" s="30" t="s">
        <v>201</v>
      </c>
      <c r="AR40" s="40">
        <f>AF6</f>
        <v>0.74</v>
      </c>
      <c r="AS40" s="40">
        <f t="shared" ref="AS40:AV40" si="12">AG6</f>
        <v>0.74</v>
      </c>
      <c r="AT40" s="40">
        <f t="shared" si="12"/>
        <v>0.74</v>
      </c>
      <c r="AU40" s="40">
        <f t="shared" si="12"/>
        <v>0.74</v>
      </c>
      <c r="AV40" s="40">
        <f t="shared" si="12"/>
        <v>0.74</v>
      </c>
      <c r="AX40" s="30" t="s">
        <v>201</v>
      </c>
      <c r="AY40" s="40">
        <f>AL6</f>
        <v>0.74</v>
      </c>
      <c r="AZ40" s="40">
        <f t="shared" ref="AZ40:BC40" si="13">AM6</f>
        <v>0.74</v>
      </c>
      <c r="BA40" s="40">
        <f t="shared" si="13"/>
        <v>0.74</v>
      </c>
      <c r="BB40" s="40">
        <f t="shared" si="13"/>
        <v>0.74</v>
      </c>
      <c r="BC40" s="40">
        <f t="shared" si="13"/>
        <v>0.74</v>
      </c>
      <c r="BE40" s="30" t="s">
        <v>201</v>
      </c>
      <c r="BF40" s="40">
        <f>AR6</f>
        <v>0.74</v>
      </c>
      <c r="BG40" s="40">
        <f t="shared" ref="BG40:BJ40" si="14">AS6</f>
        <v>0.74</v>
      </c>
      <c r="BH40" s="40">
        <f t="shared" si="14"/>
        <v>0.74</v>
      </c>
      <c r="BI40" s="40">
        <f t="shared" si="14"/>
        <v>0.74</v>
      </c>
      <c r="BJ40" s="40">
        <f t="shared" si="14"/>
        <v>0.74</v>
      </c>
      <c r="BL40" s="30" t="s">
        <v>201</v>
      </c>
      <c r="BM40" s="40">
        <f>AX6</f>
        <v>0.74</v>
      </c>
      <c r="BN40" s="40">
        <f t="shared" ref="BN40:BQ40" si="15">AY6</f>
        <v>0.74</v>
      </c>
      <c r="BO40" s="40">
        <f t="shared" si="15"/>
        <v>0.74</v>
      </c>
      <c r="BP40" s="40">
        <f t="shared" si="15"/>
        <v>0.74</v>
      </c>
      <c r="BQ40" s="40">
        <f t="shared" si="15"/>
        <v>0.74</v>
      </c>
    </row>
    <row r="41" spans="1:69" x14ac:dyDescent="0.35">
      <c r="A41" s="30"/>
      <c r="B41" s="40"/>
      <c r="C41" s="40"/>
      <c r="D41" s="40"/>
      <c r="E41" s="40"/>
      <c r="F41" s="40"/>
      <c r="H41" s="30" t="s">
        <v>193</v>
      </c>
      <c r="I41" s="40">
        <f>1-I40</f>
        <v>0.26</v>
      </c>
      <c r="J41" s="40">
        <f>1-J40</f>
        <v>0.26</v>
      </c>
      <c r="K41" s="40">
        <f>1-K40</f>
        <v>0.26</v>
      </c>
      <c r="L41" s="40">
        <f>1-L40</f>
        <v>0.26</v>
      </c>
      <c r="M41" s="40">
        <f>1-M40</f>
        <v>0.26</v>
      </c>
      <c r="O41" s="30" t="s">
        <v>193</v>
      </c>
      <c r="P41" s="40">
        <f>1-P40</f>
        <v>0.26</v>
      </c>
      <c r="Q41" s="40">
        <f>1-Q40</f>
        <v>0.26</v>
      </c>
      <c r="R41" s="40">
        <f>1-R40</f>
        <v>0.26</v>
      </c>
      <c r="S41" s="40">
        <f>1-S40</f>
        <v>0.26</v>
      </c>
      <c r="T41" s="40">
        <f>1-T40</f>
        <v>0.26</v>
      </c>
      <c r="V41" s="30" t="s">
        <v>193</v>
      </c>
      <c r="W41" s="40">
        <f>1-W40</f>
        <v>0.26</v>
      </c>
      <c r="X41" s="40">
        <f>1-X40</f>
        <v>0.26</v>
      </c>
      <c r="Y41" s="40">
        <f>1-Y40</f>
        <v>0.26</v>
      </c>
      <c r="Z41" s="40">
        <f>1-Z40</f>
        <v>0.26</v>
      </c>
      <c r="AA41" s="40">
        <f>1-AA40</f>
        <v>0.26</v>
      </c>
      <c r="AC41" s="30" t="s">
        <v>193</v>
      </c>
      <c r="AD41" s="40">
        <f>1-AD40</f>
        <v>0.26</v>
      </c>
      <c r="AE41" s="40">
        <f>1-AE40</f>
        <v>0.26</v>
      </c>
      <c r="AF41" s="40">
        <f>1-AF40</f>
        <v>0.26</v>
      </c>
      <c r="AG41" s="40">
        <f>1-AG40</f>
        <v>0.26</v>
      </c>
      <c r="AH41" s="40">
        <f>1-AH40</f>
        <v>0.26</v>
      </c>
      <c r="AJ41" s="30" t="s">
        <v>193</v>
      </c>
      <c r="AK41" s="40">
        <f>1-AK40</f>
        <v>0.26</v>
      </c>
      <c r="AL41" s="40">
        <f>1-AL40</f>
        <v>0.26</v>
      </c>
      <c r="AM41" s="40">
        <f>1-AM40</f>
        <v>0.26</v>
      </c>
      <c r="AN41" s="40">
        <f>1-AN40</f>
        <v>0.26</v>
      </c>
      <c r="AO41" s="40">
        <f>1-AO40</f>
        <v>0.26</v>
      </c>
      <c r="AQ41" s="30" t="s">
        <v>193</v>
      </c>
      <c r="AR41" s="40">
        <f>1-AR40</f>
        <v>0.26</v>
      </c>
      <c r="AS41" s="40">
        <f>1-AS40</f>
        <v>0.26</v>
      </c>
      <c r="AT41" s="40">
        <f>1-AT40</f>
        <v>0.26</v>
      </c>
      <c r="AU41" s="40">
        <f>1-AU40</f>
        <v>0.26</v>
      </c>
      <c r="AV41" s="40">
        <f>1-AV40</f>
        <v>0.26</v>
      </c>
      <c r="AX41" s="30" t="s">
        <v>193</v>
      </c>
      <c r="AY41" s="40">
        <f>1-AY40</f>
        <v>0.26</v>
      </c>
      <c r="AZ41" s="40">
        <f>1-AZ40</f>
        <v>0.26</v>
      </c>
      <c r="BA41" s="40">
        <f>1-BA40</f>
        <v>0.26</v>
      </c>
      <c r="BB41" s="40">
        <f>1-BB40</f>
        <v>0.26</v>
      </c>
      <c r="BC41" s="40">
        <f>1-BC40</f>
        <v>0.26</v>
      </c>
      <c r="BE41" s="30" t="s">
        <v>193</v>
      </c>
      <c r="BF41" s="40">
        <f>1-BF40</f>
        <v>0.26</v>
      </c>
      <c r="BG41" s="40">
        <f>1-BG40</f>
        <v>0.26</v>
      </c>
      <c r="BH41" s="40">
        <f>1-BH40</f>
        <v>0.26</v>
      </c>
      <c r="BI41" s="40">
        <f>1-BI40</f>
        <v>0.26</v>
      </c>
      <c r="BJ41" s="40">
        <f>1-BJ40</f>
        <v>0.26</v>
      </c>
      <c r="BL41" s="30" t="s">
        <v>193</v>
      </c>
      <c r="BM41" s="40">
        <f>1-BM40</f>
        <v>0.26</v>
      </c>
      <c r="BN41" s="40">
        <f>1-BN40</f>
        <v>0.26</v>
      </c>
      <c r="BO41" s="40">
        <f>1-BO40</f>
        <v>0.26</v>
      </c>
      <c r="BP41" s="40">
        <f>1-BP40</f>
        <v>0.26</v>
      </c>
      <c r="BQ41" s="40">
        <f>1-BQ40</f>
        <v>0.26</v>
      </c>
    </row>
    <row r="42" spans="1:69" x14ac:dyDescent="0.35">
      <c r="A42" s="30" t="s">
        <v>202</v>
      </c>
      <c r="B42" s="75">
        <f>I42+P42</f>
        <v>1054.9561518192434</v>
      </c>
      <c r="C42" s="75">
        <f t="shared" ref="C42:F42" si="16">J42+Q42</f>
        <v>1037.0317465604976</v>
      </c>
      <c r="D42" s="75">
        <f t="shared" si="16"/>
        <v>1037.0317465604976</v>
      </c>
      <c r="E42" s="75">
        <f t="shared" si="16"/>
        <v>1037.0317465604976</v>
      </c>
      <c r="F42" s="75">
        <f t="shared" si="16"/>
        <v>1037.0317465604976</v>
      </c>
      <c r="H42" s="30" t="s">
        <v>202</v>
      </c>
      <c r="I42" s="75">
        <f>(B4/I40)*I41</f>
        <v>607.54517902702707</v>
      </c>
      <c r="J42" s="75">
        <f t="shared" ref="J42:M42" si="17">(C4/J40)*J41</f>
        <v>586.02951270507231</v>
      </c>
      <c r="K42" s="75">
        <f t="shared" si="17"/>
        <v>586.02951270507231</v>
      </c>
      <c r="L42" s="75">
        <f t="shared" si="17"/>
        <v>586.02951270507231</v>
      </c>
      <c r="M42" s="75">
        <f t="shared" si="17"/>
        <v>586.02951270507231</v>
      </c>
      <c r="O42" s="30" t="s">
        <v>202</v>
      </c>
      <c r="P42" s="75">
        <f>(H4/P40)*P41</f>
        <v>447.41097279221623</v>
      </c>
      <c r="Q42" s="75">
        <f>(I4/Q40)*Q41</f>
        <v>451.0022338554254</v>
      </c>
      <c r="R42" s="75">
        <f>(J4/R40)*R41</f>
        <v>451.0022338554254</v>
      </c>
      <c r="S42" s="75">
        <f>(K4/S40)*S41</f>
        <v>451.0022338554254</v>
      </c>
      <c r="T42" s="75">
        <f>(L4/T40)*T41</f>
        <v>451.0022338554254</v>
      </c>
      <c r="V42" s="30" t="s">
        <v>202</v>
      </c>
      <c r="W42" s="75">
        <f>(N4/W40)*W41</f>
        <v>3200.0230572454057</v>
      </c>
      <c r="X42" s="75">
        <f t="shared" ref="X42:AA42" si="18">(O4/X40)*X41</f>
        <v>3219.9556588289993</v>
      </c>
      <c r="Y42" s="75">
        <f t="shared" si="18"/>
        <v>3219.9556588289993</v>
      </c>
      <c r="Z42" s="75">
        <f t="shared" si="18"/>
        <v>3219.9556588289993</v>
      </c>
      <c r="AA42" s="75">
        <f t="shared" si="18"/>
        <v>3219.9556588289993</v>
      </c>
      <c r="AC42" s="30" t="s">
        <v>202</v>
      </c>
      <c r="AD42" s="75">
        <f>(T4/AD40)*AD41</f>
        <v>1553.8914840800001</v>
      </c>
      <c r="AE42" s="75">
        <f t="shared" ref="AE42:AH42" si="19">(U4/AE40)*AE41</f>
        <v>1549.8173698324965</v>
      </c>
      <c r="AF42" s="75">
        <f t="shared" si="19"/>
        <v>1549.8173698324965</v>
      </c>
      <c r="AG42" s="75">
        <f t="shared" si="19"/>
        <v>1549.8173698324965</v>
      </c>
      <c r="AH42" s="75">
        <f t="shared" si="19"/>
        <v>1549.8173698324965</v>
      </c>
      <c r="AJ42" s="30" t="s">
        <v>202</v>
      </c>
      <c r="AK42" s="75">
        <f>(Z4/AK40)*AK41</f>
        <v>368.91730966227027</v>
      </c>
      <c r="AL42" s="75">
        <f t="shared" ref="AL42:AO42" si="20">(AA4/AL40)*AL41</f>
        <v>366.21180967630045</v>
      </c>
      <c r="AM42" s="75">
        <f t="shared" si="20"/>
        <v>366.21180967630045</v>
      </c>
      <c r="AN42" s="75">
        <f t="shared" si="20"/>
        <v>366.21180967630045</v>
      </c>
      <c r="AO42" s="75">
        <f t="shared" si="20"/>
        <v>366.21180967630045</v>
      </c>
      <c r="AQ42" s="30" t="s">
        <v>202</v>
      </c>
      <c r="AR42" s="75">
        <f>(AF4/AR40)*AR41</f>
        <v>863.40457823135148</v>
      </c>
      <c r="AS42" s="75">
        <f t="shared" ref="AS42:AV42" si="21">(AG4/AS40)*AS41</f>
        <v>861.13322946071639</v>
      </c>
      <c r="AT42" s="75">
        <f t="shared" si="21"/>
        <v>861.13322946071639</v>
      </c>
      <c r="AU42" s="75">
        <f t="shared" si="21"/>
        <v>861.13322946071639</v>
      </c>
      <c r="AV42" s="75">
        <f t="shared" si="21"/>
        <v>861.13322946071639</v>
      </c>
      <c r="AX42" s="30" t="s">
        <v>202</v>
      </c>
      <c r="AY42" s="75">
        <f>(AL4/AY40)*AY41</f>
        <v>1186.3351762473512</v>
      </c>
      <c r="AZ42" s="75">
        <f t="shared" ref="AZ42:BC42" si="22">(AM4/AZ40)*AZ41</f>
        <v>1188.2761189508503</v>
      </c>
      <c r="BA42" s="75">
        <f t="shared" si="22"/>
        <v>1188.2761189508503</v>
      </c>
      <c r="BB42" s="75">
        <f t="shared" si="22"/>
        <v>1188.2761189508503</v>
      </c>
      <c r="BC42" s="75">
        <f t="shared" si="22"/>
        <v>1188.2761189508503</v>
      </c>
      <c r="BE42" s="30" t="s">
        <v>202</v>
      </c>
      <c r="BF42" s="75">
        <f>(AR4/BF40)*BF41</f>
        <v>724.13151957232446</v>
      </c>
      <c r="BG42" s="75">
        <f t="shared" ref="BG42:BJ42" si="23">(AS4/BG40)*BG41</f>
        <v>720.85952710878098</v>
      </c>
      <c r="BH42" s="75">
        <f t="shared" si="23"/>
        <v>720.85952710878098</v>
      </c>
      <c r="BI42" s="75">
        <f t="shared" si="23"/>
        <v>720.85952710878098</v>
      </c>
      <c r="BJ42" s="75">
        <f t="shared" si="23"/>
        <v>720.85952710878098</v>
      </c>
      <c r="BL42" s="30" t="s">
        <v>202</v>
      </c>
      <c r="BM42" s="75">
        <f>(AX4/BM40)*BM41</f>
        <v>2169.5204940605408</v>
      </c>
      <c r="BN42" s="75">
        <f t="shared" ref="BN42:BQ42" si="24">(AY4/BN40)*BN41</f>
        <v>2171.6302052955284</v>
      </c>
      <c r="BO42" s="75">
        <f t="shared" si="24"/>
        <v>2171.6302052955284</v>
      </c>
      <c r="BP42" s="75">
        <f t="shared" si="24"/>
        <v>2171.6302052955284</v>
      </c>
      <c r="BQ42" s="75">
        <f t="shared" si="24"/>
        <v>2171.6302052955284</v>
      </c>
    </row>
    <row r="43" spans="1:69" x14ac:dyDescent="0.35">
      <c r="A43" s="30" t="s">
        <v>203</v>
      </c>
      <c r="B43" s="75">
        <f>I43+P43+W43+AD43+AK43+AR43+AY43+BF43+BM43</f>
        <v>42773.768349686492</v>
      </c>
      <c r="C43" s="75">
        <f t="shared" ref="C43:E43" si="25">J43+Q43+X43+AE43+AL43+AS43+AZ43+BG43+BN43</f>
        <v>42749.67563736219</v>
      </c>
      <c r="D43" s="75">
        <f t="shared" si="25"/>
        <v>42749.67563736219</v>
      </c>
      <c r="E43" s="75">
        <f t="shared" si="25"/>
        <v>42749.67563736219</v>
      </c>
      <c r="F43" s="75">
        <f>M43+T43+AA43+AH43+AO43+AV43+BC43+BJ43+BQ43</f>
        <v>42749.67563736219</v>
      </c>
      <c r="H43" s="30" t="s">
        <v>203</v>
      </c>
      <c r="I43" s="75">
        <f>B4+I42</f>
        <v>2336.712227027027</v>
      </c>
      <c r="J43" s="75">
        <f t="shared" ref="J43:M43" si="26">C4+J42</f>
        <v>2253.9596642502779</v>
      </c>
      <c r="K43" s="75">
        <f t="shared" si="26"/>
        <v>2253.9596642502779</v>
      </c>
      <c r="L43" s="75">
        <f t="shared" si="26"/>
        <v>2253.9596642502779</v>
      </c>
      <c r="M43" s="75">
        <f t="shared" si="26"/>
        <v>2253.9596642502779</v>
      </c>
      <c r="O43" s="30" t="s">
        <v>203</v>
      </c>
      <c r="P43" s="75">
        <f>'KF World'!U1+P42+H4</f>
        <v>1720.8114338162161</v>
      </c>
      <c r="Q43" s="75">
        <f>'KF World'!V1+Q42+I4</f>
        <v>1734.6239763670208</v>
      </c>
      <c r="R43" s="75">
        <f>'KF World'!W1+R42+J4</f>
        <v>1734.6239763670208</v>
      </c>
      <c r="S43" s="75">
        <f>'KF World'!X1+S42+K4</f>
        <v>1734.6239763670208</v>
      </c>
      <c r="T43" s="75">
        <f>'KF World'!Y1+T42+L4</f>
        <v>1734.6239763670208</v>
      </c>
      <c r="V43" s="30" t="s">
        <v>203</v>
      </c>
      <c r="W43" s="75">
        <f>'KF World'!AB1+W42+N4</f>
        <v>12307.780989405406</v>
      </c>
      <c r="X43" s="75">
        <f>'KF World'!AC1+X42+O4</f>
        <v>12384.444841649996</v>
      </c>
      <c r="Y43" s="75">
        <f>'KF World'!AD1+Y42+P4</f>
        <v>12384.444841649996</v>
      </c>
      <c r="Z43" s="75">
        <f>'KF World'!AE1+Z42+Q4</f>
        <v>12384.444841649996</v>
      </c>
      <c r="AA43" s="75">
        <f>'KF World'!AF1+AA42+R4</f>
        <v>12384.444841649996</v>
      </c>
      <c r="AC43" s="30" t="s">
        <v>203</v>
      </c>
      <c r="AD43" s="75">
        <f>'KF World'!AI1+AD42+T4</f>
        <v>5976.5057079999997</v>
      </c>
      <c r="AE43" s="75">
        <f>'KF World'!AJ1+AE42+U4</f>
        <v>5960.8360378172938</v>
      </c>
      <c r="AF43" s="75">
        <f>'KF World'!AK1+AF42+V4</f>
        <v>5960.8360378172938</v>
      </c>
      <c r="AG43" s="75">
        <f>'KF World'!AL1+AG42+W4</f>
        <v>5960.8360378172938</v>
      </c>
      <c r="AH43" s="75">
        <f>'KF World'!AM1+AH42+X4</f>
        <v>5960.8360378172938</v>
      </c>
      <c r="AJ43" s="30" t="s">
        <v>203</v>
      </c>
      <c r="AK43" s="75">
        <f>'KF World'!AP1+AK42+Z4</f>
        <v>1418.9127294702703</v>
      </c>
      <c r="AL43" s="75">
        <f>'KF World'!AQ1+AL42+AA4</f>
        <v>1408.5069602934632</v>
      </c>
      <c r="AM43" s="75">
        <f>'KF World'!AR1+AM42+AB4</f>
        <v>1408.5069602934632</v>
      </c>
      <c r="AN43" s="75">
        <f>'KF World'!AS1+AN42+AC4</f>
        <v>1408.5069602934632</v>
      </c>
      <c r="AO43" s="75">
        <f>'KF World'!AT1+AO42+AD4</f>
        <v>1408.5069602934632</v>
      </c>
      <c r="AQ43" s="30" t="s">
        <v>203</v>
      </c>
      <c r="AR43" s="75">
        <f>'KF World'!AW1+AR42+AF4</f>
        <v>3320.7868393513518</v>
      </c>
      <c r="AS43" s="75">
        <f>'KF World'!AX1+AS42+AG4</f>
        <v>3312.0508825412167</v>
      </c>
      <c r="AT43" s="75">
        <f>'KF World'!AY1+AT42+AH4</f>
        <v>3312.0508825412167</v>
      </c>
      <c r="AU43" s="75">
        <f>'KF World'!AZ1+AU42+AI4</f>
        <v>3312.0508825412167</v>
      </c>
      <c r="AV43" s="75">
        <f>'KF World'!BA1+AV42+AJ4</f>
        <v>3312.0508825412167</v>
      </c>
      <c r="AX43" s="30" t="s">
        <v>203</v>
      </c>
      <c r="AY43" s="75">
        <f>'KF World'!BD1+AY42+AL4</f>
        <v>4562.8276009513511</v>
      </c>
      <c r="AZ43" s="75">
        <f>'KF World'!BE1+AZ42+AM4</f>
        <v>4570.2927651955779</v>
      </c>
      <c r="BA43" s="75">
        <f>'KF World'!BF1+BA42+AN4</f>
        <v>4570.2927651955779</v>
      </c>
      <c r="BB43" s="75">
        <f>'KF World'!BG1+BB42+AO4</f>
        <v>4570.2927651955779</v>
      </c>
      <c r="BC43" s="75">
        <f>'KF World'!BH1+BC42+AP4</f>
        <v>4570.2927651955779</v>
      </c>
      <c r="BE43" s="30" t="s">
        <v>203</v>
      </c>
      <c r="BF43" s="75">
        <f>'KF World'!BK1+BF42+AR4</f>
        <v>2785.1212291243246</v>
      </c>
      <c r="BG43" s="75">
        <f>'KF World'!BL1+BG42+AS4</f>
        <v>2772.5366427260806</v>
      </c>
      <c r="BH43" s="75">
        <f>'KF World'!BM1+BH42+AT4</f>
        <v>2772.5366427260806</v>
      </c>
      <c r="BI43" s="75">
        <f>'KF World'!BN1+BI42+AU4</f>
        <v>2772.5366427260806</v>
      </c>
      <c r="BJ43" s="75">
        <f>'KF World'!BO1+BJ42+AV4</f>
        <v>2772.5366427260806</v>
      </c>
      <c r="BL43" s="30" t="s">
        <v>203</v>
      </c>
      <c r="BM43" s="75">
        <f>'KF World'!BR1+BM42+AX4</f>
        <v>8344.3095925405414</v>
      </c>
      <c r="BN43" s="75">
        <f>'KF World'!BS1+BN42+AY4</f>
        <v>8352.4238665212633</v>
      </c>
      <c r="BO43" s="75">
        <f>'KF World'!BT1+BO42+AZ4</f>
        <v>8352.4238665212633</v>
      </c>
      <c r="BP43" s="75">
        <f>'KF World'!BU1+BP42+BA4</f>
        <v>8352.4238665212633</v>
      </c>
      <c r="BQ43" s="75">
        <f>'KF World'!BV1+BQ42+BB4</f>
        <v>8352.4238665212633</v>
      </c>
    </row>
    <row r="45" spans="1:69" x14ac:dyDescent="0.35">
      <c r="A45" s="30" t="s">
        <v>204</v>
      </c>
      <c r="B45" s="96">
        <v>2018</v>
      </c>
      <c r="C45">
        <v>2019</v>
      </c>
      <c r="D45" s="108">
        <v>2020</v>
      </c>
      <c r="E45" s="108">
        <v>2025</v>
      </c>
      <c r="F45" s="110">
        <v>2030</v>
      </c>
      <c r="G45" s="108">
        <v>2035</v>
      </c>
      <c r="H45" s="108">
        <v>2040</v>
      </c>
      <c r="I45" s="108">
        <v>2045</v>
      </c>
      <c r="J45" s="110">
        <v>2050</v>
      </c>
      <c r="K45" s="108">
        <v>2055</v>
      </c>
      <c r="L45" s="108">
        <v>2060</v>
      </c>
      <c r="M45" s="108">
        <v>2065</v>
      </c>
      <c r="N45" s="108">
        <v>2070</v>
      </c>
      <c r="O45" s="110">
        <v>2075</v>
      </c>
      <c r="P45" s="108">
        <v>2080</v>
      </c>
      <c r="Q45" s="108">
        <v>2085</v>
      </c>
      <c r="R45" s="108">
        <v>2090</v>
      </c>
      <c r="S45" s="108">
        <v>2095</v>
      </c>
      <c r="T45" s="110">
        <v>2100</v>
      </c>
    </row>
    <row r="46" spans="1:69" x14ac:dyDescent="0.35">
      <c r="A46" s="30" t="s">
        <v>205</v>
      </c>
      <c r="B46" s="111">
        <f>B43</f>
        <v>42773.768349686492</v>
      </c>
      <c r="C46" s="75">
        <f>B46+(($F$46-$B$46)/12)</f>
        <v>42771.760623659466</v>
      </c>
      <c r="D46" s="75">
        <f>C46+(($F$46-$B$46)/12)</f>
        <v>42769.752897632439</v>
      </c>
      <c r="E46" s="75">
        <f>D46+(($F$46-$B$46)/12)*5</f>
        <v>42759.714267497315</v>
      </c>
      <c r="F46" s="109">
        <f>C43</f>
        <v>42749.67563736219</v>
      </c>
      <c r="G46" s="7">
        <f>F46+(J46-F46)/4</f>
        <v>42749.67563736219</v>
      </c>
      <c r="H46" s="7">
        <f>G46+(J46-F46)/4</f>
        <v>42749.67563736219</v>
      </c>
      <c r="I46" s="7">
        <f>H46+(J46-F46)/4</f>
        <v>42749.67563736219</v>
      </c>
      <c r="J46" s="109">
        <f>D43</f>
        <v>42749.67563736219</v>
      </c>
      <c r="K46" s="7">
        <f>J46+(O46-J46)/5</f>
        <v>42749.67563736219</v>
      </c>
      <c r="L46" s="7">
        <f>K46+(O46-J46)/5</f>
        <v>42749.67563736219</v>
      </c>
      <c r="M46" s="7">
        <f>L46+(O46-J46)/5</f>
        <v>42749.67563736219</v>
      </c>
      <c r="N46" s="7">
        <f>M46+(O46-J46)/5</f>
        <v>42749.67563736219</v>
      </c>
      <c r="O46" s="109">
        <f>E43</f>
        <v>42749.67563736219</v>
      </c>
      <c r="P46" s="7">
        <f>O46+(T46-O46)/5</f>
        <v>42749.67563736219</v>
      </c>
      <c r="Q46" s="7">
        <f>P46+(T46-O46)/5</f>
        <v>42749.67563736219</v>
      </c>
      <c r="R46" s="7">
        <f>Q46+(T46-O46)/5</f>
        <v>42749.67563736219</v>
      </c>
      <c r="S46" s="7">
        <f>R46+(T46-O46)/5</f>
        <v>42749.67563736219</v>
      </c>
      <c r="T46" s="109">
        <f>F43</f>
        <v>42749.67563736219</v>
      </c>
    </row>
    <row r="48" spans="1:69" x14ac:dyDescent="0.35">
      <c r="A48" s="39" t="s">
        <v>206</v>
      </c>
    </row>
    <row r="49" spans="1:25" x14ac:dyDescent="0.35">
      <c r="A49" t="s">
        <v>195</v>
      </c>
      <c r="B49">
        <v>2015</v>
      </c>
    </row>
    <row r="50" spans="1:25" x14ac:dyDescent="0.35">
      <c r="A50" t="s">
        <v>207</v>
      </c>
      <c r="B50">
        <v>399.4</v>
      </c>
    </row>
    <row r="51" spans="1:25" x14ac:dyDescent="0.35">
      <c r="A51" t="s">
        <v>208</v>
      </c>
      <c r="B51">
        <v>14.65</v>
      </c>
    </row>
    <row r="52" spans="1:25" x14ac:dyDescent="0.35">
      <c r="A52" t="s">
        <v>209</v>
      </c>
      <c r="B52">
        <v>3</v>
      </c>
    </row>
    <row r="53" spans="1:25" x14ac:dyDescent="0.35">
      <c r="A53" t="s">
        <v>318</v>
      </c>
      <c r="B53" s="116">
        <f>'KF World'!F1*12/44*10^-3</f>
        <v>8.6949609854050909</v>
      </c>
    </row>
    <row r="54" spans="1:25" x14ac:dyDescent="0.35">
      <c r="B54" s="34"/>
    </row>
    <row r="55" spans="1:25" x14ac:dyDescent="0.35">
      <c r="B55">
        <v>2018</v>
      </c>
      <c r="C55">
        <v>2019</v>
      </c>
      <c r="D55" s="108">
        <v>2020</v>
      </c>
      <c r="E55" s="108">
        <v>2025</v>
      </c>
      <c r="F55" s="108">
        <v>2030</v>
      </c>
      <c r="G55" s="108">
        <v>2035</v>
      </c>
      <c r="H55" s="108">
        <v>2040</v>
      </c>
      <c r="I55" s="108">
        <v>2045</v>
      </c>
      <c r="J55" s="108">
        <v>2050</v>
      </c>
      <c r="K55" s="108">
        <v>2055</v>
      </c>
      <c r="L55" s="108">
        <v>2060</v>
      </c>
      <c r="M55" s="108">
        <v>2065</v>
      </c>
      <c r="N55" s="108">
        <v>2070</v>
      </c>
      <c r="O55" s="108">
        <v>2075</v>
      </c>
      <c r="P55" s="108">
        <v>2080</v>
      </c>
      <c r="Q55" s="108">
        <v>2085</v>
      </c>
      <c r="R55" s="108">
        <v>2090</v>
      </c>
      <c r="S55" s="108">
        <v>2095</v>
      </c>
      <c r="T55" s="108">
        <v>2100</v>
      </c>
    </row>
    <row r="56" spans="1:25" x14ac:dyDescent="0.35">
      <c r="A56" t="s">
        <v>210</v>
      </c>
      <c r="B56" s="104">
        <f t="shared" ref="B56:T56" si="27">B46*12/44*10^-3</f>
        <v>11.665573186278134</v>
      </c>
      <c r="C56" s="104">
        <f>C46*12/44*10^-3</f>
        <v>11.665025624634399</v>
      </c>
      <c r="D56" s="104">
        <f t="shared" si="27"/>
        <v>11.664478062990666</v>
      </c>
      <c r="E56" s="104">
        <f t="shared" si="27"/>
        <v>11.661740254771995</v>
      </c>
      <c r="F56" s="104">
        <f t="shared" si="27"/>
        <v>11.659002446553325</v>
      </c>
      <c r="G56" s="104">
        <f t="shared" si="27"/>
        <v>11.659002446553325</v>
      </c>
      <c r="H56" s="104">
        <f t="shared" si="27"/>
        <v>11.659002446553325</v>
      </c>
      <c r="I56" s="104">
        <f t="shared" si="27"/>
        <v>11.659002446553325</v>
      </c>
      <c r="J56" s="104">
        <f t="shared" si="27"/>
        <v>11.659002446553325</v>
      </c>
      <c r="K56" s="104">
        <f t="shared" si="27"/>
        <v>11.659002446553325</v>
      </c>
      <c r="L56" s="104">
        <f t="shared" si="27"/>
        <v>11.659002446553325</v>
      </c>
      <c r="M56" s="104">
        <f t="shared" si="27"/>
        <v>11.659002446553325</v>
      </c>
      <c r="N56" s="104">
        <f t="shared" si="27"/>
        <v>11.659002446553325</v>
      </c>
      <c r="O56" s="104">
        <f t="shared" si="27"/>
        <v>11.659002446553325</v>
      </c>
      <c r="P56" s="104">
        <f t="shared" si="27"/>
        <v>11.659002446553325</v>
      </c>
      <c r="Q56" s="104">
        <f t="shared" si="27"/>
        <v>11.659002446553325</v>
      </c>
      <c r="R56" s="104">
        <f t="shared" si="27"/>
        <v>11.659002446553325</v>
      </c>
      <c r="S56" s="104">
        <f t="shared" si="27"/>
        <v>11.659002446553325</v>
      </c>
      <c r="T56" s="104">
        <f t="shared" si="27"/>
        <v>11.659002446553325</v>
      </c>
      <c r="U56" s="104"/>
    </row>
    <row r="57" spans="1:25" x14ac:dyDescent="0.35">
      <c r="A57" t="s">
        <v>207</v>
      </c>
      <c r="B57" s="7">
        <f>(B50+AVERAGE(B53,B56)*0.45*3/2.3)*(1-0.001)^3</f>
        <v>404.16046375735078</v>
      </c>
      <c r="C57" s="7">
        <f>(B57+AVERAGE(B56,C56)*0.45/2.3)*(1-0.001)^1</f>
        <v>406.0363621404295</v>
      </c>
      <c r="D57" s="7">
        <f>(C57+AVERAGE(C56,D56)*0.45/2.3)*(1-0.001)^1</f>
        <v>407.91027760063082</v>
      </c>
      <c r="E57" s="7">
        <f t="shared" ref="E57:T57" si="28">(D57+AVERAGE(D56,E56)*0.45*5/2.3)*(1-0.001)^5</f>
        <v>417.22743071099779</v>
      </c>
      <c r="F57" s="7">
        <f t="shared" si="28"/>
        <v>426.49542620826753</v>
      </c>
      <c r="G57" s="7">
        <f t="shared" si="28"/>
        <v>435.71584185239647</v>
      </c>
      <c r="H57" s="7">
        <f t="shared" si="28"/>
        <v>444.8902475303031</v>
      </c>
      <c r="I57" s="7">
        <f t="shared" si="28"/>
        <v>454.01887283217883</v>
      </c>
      <c r="J57" s="7">
        <f t="shared" si="28"/>
        <v>463.10194620255754</v>
      </c>
      <c r="K57" s="7">
        <f t="shared" si="28"/>
        <v>472.13969494603276</v>
      </c>
      <c r="L57" s="7">
        <f t="shared" si="28"/>
        <v>481.13234523294574</v>
      </c>
      <c r="M57" s="7">
        <f t="shared" si="28"/>
        <v>490.08012210504546</v>
      </c>
      <c r="N57" s="7">
        <f t="shared" si="28"/>
        <v>498.98324948112037</v>
      </c>
      <c r="O57" s="7">
        <f t="shared" si="28"/>
        <v>507.8419501626019</v>
      </c>
      <c r="P57" s="7">
        <f t="shared" si="28"/>
        <v>516.65644583914013</v>
      </c>
      <c r="Q57" s="7">
        <f t="shared" si="28"/>
        <v>525.42695709415159</v>
      </c>
      <c r="R57" s="7">
        <f t="shared" si="28"/>
        <v>534.15370341033929</v>
      </c>
      <c r="S57" s="7">
        <f t="shared" si="28"/>
        <v>542.8369031751854</v>
      </c>
      <c r="T57" s="7">
        <f t="shared" si="28"/>
        <v>551.47677368641632</v>
      </c>
    </row>
    <row r="59" spans="1:25" x14ac:dyDescent="0.35">
      <c r="A59" t="s">
        <v>211</v>
      </c>
      <c r="B59">
        <v>1995</v>
      </c>
      <c r="C59">
        <v>2000</v>
      </c>
      <c r="D59">
        <v>2005</v>
      </c>
      <c r="E59">
        <v>2010</v>
      </c>
      <c r="F59">
        <v>2015</v>
      </c>
      <c r="G59">
        <v>2018</v>
      </c>
      <c r="H59">
        <v>2019</v>
      </c>
      <c r="I59" s="108">
        <v>2020</v>
      </c>
      <c r="J59" s="108">
        <v>2025</v>
      </c>
      <c r="K59" s="108">
        <v>2030</v>
      </c>
      <c r="L59" s="108">
        <v>2035</v>
      </c>
      <c r="M59" s="108">
        <v>2040</v>
      </c>
      <c r="N59" s="108">
        <v>2045</v>
      </c>
      <c r="O59" s="108">
        <v>2050</v>
      </c>
      <c r="P59" s="108">
        <v>2055</v>
      </c>
      <c r="Q59" s="108">
        <v>2060</v>
      </c>
      <c r="R59" s="108">
        <v>2065</v>
      </c>
      <c r="S59" s="108">
        <v>2070</v>
      </c>
      <c r="T59" s="108">
        <v>2075</v>
      </c>
      <c r="U59" s="108">
        <v>2080</v>
      </c>
      <c r="V59" s="108">
        <v>2085</v>
      </c>
      <c r="W59" s="108">
        <v>2090</v>
      </c>
      <c r="X59" s="108">
        <v>2095</v>
      </c>
      <c r="Y59" s="108">
        <v>2100</v>
      </c>
    </row>
    <row r="60" spans="1:25" x14ac:dyDescent="0.35">
      <c r="A60" t="s">
        <v>212</v>
      </c>
      <c r="B60" s="112">
        <v>14.24</v>
      </c>
      <c r="C60" s="113">
        <v>14.4</v>
      </c>
      <c r="D60" s="113">
        <v>14.47</v>
      </c>
      <c r="E60" s="113">
        <v>14.45</v>
      </c>
      <c r="F60" s="113">
        <v>14.65</v>
      </c>
      <c r="G60" s="34">
        <f>F60+$B$52*LOG(B57/B50,2)</f>
        <v>14.701281600669471</v>
      </c>
      <c r="H60" s="34">
        <f t="shared" ref="H60:Y60" si="29">G60+$B$52*LOG(C57/B57,2)</f>
        <v>14.721323798151424</v>
      </c>
      <c r="I60" s="34">
        <f t="shared" si="29"/>
        <v>14.741252573719837</v>
      </c>
      <c r="J60" s="34">
        <f t="shared" si="29"/>
        <v>14.838999035508712</v>
      </c>
      <c r="K60" s="34">
        <f t="shared" si="29"/>
        <v>14.934087811593137</v>
      </c>
      <c r="L60" s="34">
        <f t="shared" si="29"/>
        <v>15.026659705745029</v>
      </c>
      <c r="M60" s="34">
        <f t="shared" si="29"/>
        <v>15.116845421983847</v>
      </c>
      <c r="N60" s="34">
        <f t="shared" si="29"/>
        <v>15.204753809459376</v>
      </c>
      <c r="O60" s="34">
        <f t="shared" si="29"/>
        <v>15.290486461750522</v>
      </c>
      <c r="P60" s="34">
        <f t="shared" si="29"/>
        <v>15.374138347711646</v>
      </c>
      <c r="Q60" s="34">
        <f t="shared" si="29"/>
        <v>15.455798375212447</v>
      </c>
      <c r="R60" s="34">
        <f t="shared" si="29"/>
        <v>15.535549896159393</v>
      </c>
      <c r="S60" s="34">
        <f t="shared" si="29"/>
        <v>15.613471159988457</v>
      </c>
      <c r="T60" s="34">
        <f t="shared" si="29"/>
        <v>15.689635721812303</v>
      </c>
      <c r="U60" s="34">
        <f t="shared" si="29"/>
        <v>15.764112810556442</v>
      </c>
      <c r="V60" s="34">
        <f t="shared" si="29"/>
        <v>15.836967661700776</v>
      </c>
      <c r="W60" s="34">
        <f t="shared" si="29"/>
        <v>15.908261818633232</v>
      </c>
      <c r="X60" s="34">
        <f t="shared" si="29"/>
        <v>15.978053406102843</v>
      </c>
      <c r="Y60" s="34">
        <f t="shared" si="29"/>
        <v>16.046397378815758</v>
      </c>
    </row>
    <row r="61" spans="1:25" x14ac:dyDescent="0.35">
      <c r="A61" t="s">
        <v>213</v>
      </c>
      <c r="B61">
        <f t="shared" ref="B61:G61" si="30">15.8</f>
        <v>15.8</v>
      </c>
      <c r="C61">
        <f t="shared" si="30"/>
        <v>15.8</v>
      </c>
      <c r="D61">
        <f t="shared" si="30"/>
        <v>15.8</v>
      </c>
      <c r="E61">
        <f t="shared" si="30"/>
        <v>15.8</v>
      </c>
      <c r="F61">
        <f t="shared" si="30"/>
        <v>15.8</v>
      </c>
      <c r="G61">
        <f t="shared" si="30"/>
        <v>15.8</v>
      </c>
      <c r="H61">
        <v>15.8</v>
      </c>
      <c r="I61">
        <v>15.8</v>
      </c>
      <c r="J61">
        <v>15.8</v>
      </c>
      <c r="K61">
        <v>15.8</v>
      </c>
      <c r="L61">
        <v>15.8</v>
      </c>
      <c r="M61">
        <v>15.8</v>
      </c>
      <c r="N61">
        <v>15.8</v>
      </c>
      <c r="O61">
        <v>15.8</v>
      </c>
      <c r="P61">
        <v>15.8</v>
      </c>
      <c r="Q61">
        <v>15.8</v>
      </c>
      <c r="R61">
        <v>15.8</v>
      </c>
      <c r="S61">
        <v>15.8</v>
      </c>
      <c r="T61">
        <v>15.8</v>
      </c>
      <c r="U61">
        <v>15.8</v>
      </c>
      <c r="V61">
        <v>15.8</v>
      </c>
      <c r="W61">
        <v>15.8</v>
      </c>
      <c r="X61">
        <v>15.8</v>
      </c>
      <c r="Y61">
        <v>15.8</v>
      </c>
    </row>
  </sheetData>
  <mergeCells count="20">
    <mergeCell ref="BE38:BJ38"/>
    <mergeCell ref="BL38:BQ38"/>
    <mergeCell ref="Z3:AD3"/>
    <mergeCell ref="AF3:AJ3"/>
    <mergeCell ref="AL3:AP3"/>
    <mergeCell ref="AR3:AV3"/>
    <mergeCell ref="AX3:BB3"/>
    <mergeCell ref="V38:AA38"/>
    <mergeCell ref="AC38:AH38"/>
    <mergeCell ref="AJ38:AO38"/>
    <mergeCell ref="AQ38:AV38"/>
    <mergeCell ref="AX38:BC38"/>
    <mergeCell ref="A1:F1"/>
    <mergeCell ref="A3:F3"/>
    <mergeCell ref="A38:F38"/>
    <mergeCell ref="H38:M38"/>
    <mergeCell ref="O38:T38"/>
    <mergeCell ref="H3:L3"/>
    <mergeCell ref="N3:R3"/>
    <mergeCell ref="T3:X3"/>
  </mergeCells>
  <pageMargins left="0.7" right="0.7" top="0.75" bottom="0.75" header="0.3" footer="0.3"/>
  <pageSetup paperSize="9" orientation="portrait" r:id="rId1"/>
  <drawing r:id="rId2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sheetPr codeName="Ark81"/>
  <dimension ref="A1:L32"/>
  <sheetViews>
    <sheetView workbookViewId="0">
      <selection activeCell="C38" sqref="C38"/>
    </sheetView>
  </sheetViews>
  <sheetFormatPr defaultRowHeight="14.5" x14ac:dyDescent="0.35"/>
  <cols>
    <col min="1" max="1" width="30" customWidth="1"/>
    <col min="2" max="2" width="11.54296875" customWidth="1"/>
    <col min="3" max="3" width="12" customWidth="1"/>
    <col min="4" max="4" width="14.54296875" customWidth="1"/>
    <col min="5" max="5" width="14.1796875" customWidth="1"/>
    <col min="8" max="8" width="22.81640625" customWidth="1"/>
    <col min="9" max="9" width="21.81640625" customWidth="1"/>
    <col min="10" max="10" width="13.81640625" customWidth="1"/>
    <col min="11" max="11" width="12.26953125" customWidth="1"/>
    <col min="12" max="12" width="11.81640625" customWidth="1"/>
  </cols>
  <sheetData>
    <row r="1" spans="1:12" x14ac:dyDescent="0.35">
      <c r="A1" s="91"/>
      <c r="B1" t="s">
        <v>214</v>
      </c>
      <c r="C1" t="s">
        <v>2</v>
      </c>
      <c r="D1" t="s">
        <v>215</v>
      </c>
      <c r="E1" t="s">
        <v>216</v>
      </c>
      <c r="F1" t="s">
        <v>5</v>
      </c>
      <c r="G1" t="s">
        <v>6</v>
      </c>
      <c r="H1" t="s">
        <v>217</v>
      </c>
      <c r="I1" t="s">
        <v>8</v>
      </c>
      <c r="J1" t="s">
        <v>9</v>
      </c>
      <c r="K1" t="s">
        <v>10</v>
      </c>
      <c r="L1" t="s">
        <v>218</v>
      </c>
    </row>
    <row r="2" spans="1:12" x14ac:dyDescent="0.35">
      <c r="B2" t="s">
        <v>219</v>
      </c>
      <c r="C2" t="s">
        <v>219</v>
      </c>
      <c r="D2" t="s">
        <v>219</v>
      </c>
      <c r="E2" t="s">
        <v>219</v>
      </c>
      <c r="F2" t="s">
        <v>219</v>
      </c>
      <c r="G2" t="s">
        <v>219</v>
      </c>
      <c r="H2" t="s">
        <v>219</v>
      </c>
      <c r="I2" t="s">
        <v>219</v>
      </c>
      <c r="J2" t="s">
        <v>219</v>
      </c>
      <c r="K2" t="s">
        <v>219</v>
      </c>
      <c r="L2" t="s">
        <v>219</v>
      </c>
    </row>
    <row r="3" spans="1:12" x14ac:dyDescent="0.35">
      <c r="A3" t="s">
        <v>17</v>
      </c>
      <c r="B3" s="7">
        <v>575843</v>
      </c>
      <c r="C3" s="7">
        <v>669588</v>
      </c>
      <c r="D3" s="7"/>
      <c r="E3" s="7">
        <v>589869</v>
      </c>
      <c r="F3" s="7">
        <v>213745</v>
      </c>
      <c r="G3" s="7">
        <v>59844</v>
      </c>
      <c r="H3" s="7">
        <v>18508</v>
      </c>
      <c r="I3" s="7">
        <v>96169</v>
      </c>
      <c r="J3" s="7"/>
      <c r="K3" s="7"/>
      <c r="L3" s="7">
        <v>2223566</v>
      </c>
    </row>
    <row r="4" spans="1:12" x14ac:dyDescent="0.35">
      <c r="A4" t="s">
        <v>220</v>
      </c>
      <c r="B4" s="7">
        <v>14760</v>
      </c>
      <c r="C4" s="7">
        <v>457603</v>
      </c>
      <c r="D4" s="7">
        <v>56204</v>
      </c>
      <c r="E4" s="7">
        <v>67800</v>
      </c>
      <c r="F4" s="7"/>
      <c r="G4" s="7"/>
      <c r="H4" s="7"/>
      <c r="I4" s="7">
        <v>34</v>
      </c>
      <c r="J4" s="7">
        <v>4759</v>
      </c>
      <c r="K4" s="7"/>
      <c r="L4" s="7">
        <v>601160</v>
      </c>
    </row>
    <row r="5" spans="1:12" x14ac:dyDescent="0.35">
      <c r="A5" t="s">
        <v>221</v>
      </c>
      <c r="B5" s="7">
        <v>-80645</v>
      </c>
      <c r="C5" s="7">
        <v>-135185</v>
      </c>
      <c r="D5" s="7">
        <v>-56809</v>
      </c>
      <c r="E5" s="7">
        <v>-68506</v>
      </c>
      <c r="F5" s="7"/>
      <c r="G5" s="7"/>
      <c r="H5" s="7"/>
      <c r="I5" s="7">
        <v>-59</v>
      </c>
      <c r="J5" s="7">
        <v>-4689</v>
      </c>
      <c r="K5" s="7"/>
      <c r="L5" s="7">
        <v>-345893</v>
      </c>
    </row>
    <row r="6" spans="1:12" x14ac:dyDescent="0.35">
      <c r="A6" t="s">
        <v>222</v>
      </c>
      <c r="B6" s="7"/>
      <c r="C6" s="7"/>
      <c r="D6" s="7">
        <v>-30668</v>
      </c>
      <c r="E6" s="7"/>
      <c r="F6" s="7"/>
      <c r="G6" s="7"/>
      <c r="H6" s="7"/>
      <c r="I6" s="7"/>
      <c r="J6" s="7"/>
      <c r="K6" s="7"/>
      <c r="L6" s="7">
        <v>-30668</v>
      </c>
    </row>
    <row r="7" spans="1:12" x14ac:dyDescent="0.35">
      <c r="A7" t="s">
        <v>223</v>
      </c>
      <c r="B7" s="7"/>
      <c r="C7" s="7"/>
      <c r="D7" s="7">
        <v>-18877</v>
      </c>
      <c r="E7" s="7"/>
      <c r="F7" s="7"/>
      <c r="G7" s="7"/>
      <c r="H7" s="7"/>
      <c r="I7" s="7"/>
      <c r="J7" s="7"/>
      <c r="K7" s="7"/>
      <c r="L7" s="7">
        <v>-18877</v>
      </c>
    </row>
    <row r="8" spans="1:12" x14ac:dyDescent="0.35">
      <c r="A8" t="s">
        <v>224</v>
      </c>
      <c r="B8" s="7">
        <v>-2581</v>
      </c>
      <c r="C8" s="7">
        <v>5522</v>
      </c>
      <c r="D8" s="7">
        <v>7667</v>
      </c>
      <c r="E8" s="7">
        <v>11408</v>
      </c>
      <c r="F8" s="7"/>
      <c r="G8" s="7"/>
      <c r="H8" s="7"/>
      <c r="I8" s="7">
        <v>17</v>
      </c>
      <c r="J8" s="7"/>
      <c r="K8" s="7"/>
      <c r="L8" s="7">
        <v>22033</v>
      </c>
    </row>
    <row r="9" spans="1:12" x14ac:dyDescent="0.35">
      <c r="A9" t="s">
        <v>225</v>
      </c>
      <c r="B9" s="7">
        <v>507377</v>
      </c>
      <c r="C9" s="7">
        <v>997527</v>
      </c>
      <c r="D9" s="7">
        <v>-42482</v>
      </c>
      <c r="E9" s="7">
        <v>600571</v>
      </c>
      <c r="F9" s="7">
        <v>213745</v>
      </c>
      <c r="G9" s="7">
        <v>59844</v>
      </c>
      <c r="H9" s="7">
        <v>18508</v>
      </c>
      <c r="I9" s="7">
        <v>96161</v>
      </c>
      <c r="J9" s="7">
        <v>70</v>
      </c>
      <c r="K9" s="7"/>
      <c r="L9" s="7">
        <v>2451321</v>
      </c>
    </row>
    <row r="10" spans="1:12" x14ac:dyDescent="0.35">
      <c r="A10" t="s">
        <v>226</v>
      </c>
      <c r="B10" s="7"/>
      <c r="C10" s="7">
        <v>-53546</v>
      </c>
      <c r="D10" s="7">
        <v>59214</v>
      </c>
      <c r="E10" s="7"/>
      <c r="F10" s="7"/>
      <c r="G10" s="7"/>
      <c r="H10" s="7"/>
      <c r="I10" s="7"/>
      <c r="J10" s="7"/>
      <c r="K10" s="7"/>
      <c r="L10" s="7">
        <v>5668</v>
      </c>
    </row>
    <row r="11" spans="1:12" x14ac:dyDescent="0.35">
      <c r="A11" t="s">
        <v>227</v>
      </c>
      <c r="B11" s="7">
        <v>17615</v>
      </c>
      <c r="C11" s="7">
        <v>2155</v>
      </c>
      <c r="D11" s="7">
        <v>-5814</v>
      </c>
      <c r="E11" s="7">
        <v>-8540</v>
      </c>
      <c r="F11" s="7"/>
      <c r="G11" s="7"/>
      <c r="H11" s="7">
        <v>144</v>
      </c>
      <c r="I11" s="7">
        <v>5</v>
      </c>
      <c r="J11" s="7">
        <v>-38</v>
      </c>
      <c r="K11" s="7">
        <v>-48</v>
      </c>
      <c r="L11" s="7">
        <v>5478</v>
      </c>
    </row>
    <row r="12" spans="1:12" x14ac:dyDescent="0.35">
      <c r="A12" t="s">
        <v>228</v>
      </c>
      <c r="B12" s="7">
        <v>-454814</v>
      </c>
      <c r="C12" s="7">
        <v>-415</v>
      </c>
      <c r="D12" s="7">
        <v>-33892</v>
      </c>
      <c r="E12" s="7">
        <v>-82054</v>
      </c>
      <c r="F12" s="7">
        <v>-213683</v>
      </c>
      <c r="G12" s="7">
        <v>-59844</v>
      </c>
      <c r="H12" s="7">
        <v>-18221</v>
      </c>
      <c r="I12" s="7">
        <v>-12254</v>
      </c>
      <c r="J12" s="7">
        <v>341050</v>
      </c>
      <c r="K12" s="7"/>
      <c r="L12" s="7">
        <v>-534128</v>
      </c>
    </row>
    <row r="13" spans="1:12" x14ac:dyDescent="0.35">
      <c r="A13" t="s">
        <v>66</v>
      </c>
      <c r="B13" s="7">
        <v>-15979</v>
      </c>
      <c r="C13" s="7"/>
      <c r="D13" s="7">
        <v>-85</v>
      </c>
      <c r="E13" s="7">
        <v>-54999</v>
      </c>
      <c r="F13" s="7">
        <v>-62</v>
      </c>
      <c r="G13" s="7"/>
      <c r="H13" s="7"/>
      <c r="I13" s="7">
        <v>-31293</v>
      </c>
      <c r="J13" s="7">
        <v>28568</v>
      </c>
      <c r="K13" s="7">
        <v>8648</v>
      </c>
      <c r="L13" s="7">
        <v>-65203</v>
      </c>
    </row>
    <row r="14" spans="1:12" x14ac:dyDescent="0.35">
      <c r="A14" t="s">
        <v>229</v>
      </c>
      <c r="B14" s="7">
        <v>-824</v>
      </c>
      <c r="C14" s="7"/>
      <c r="D14" s="7"/>
      <c r="E14" s="7">
        <v>-1346</v>
      </c>
      <c r="F14" s="7"/>
      <c r="G14" s="7"/>
      <c r="H14" s="7"/>
      <c r="I14" s="7">
        <v>-63</v>
      </c>
      <c r="J14" s="7"/>
      <c r="K14" s="7">
        <v>1895</v>
      </c>
      <c r="L14" s="7">
        <v>-338</v>
      </c>
    </row>
    <row r="15" spans="1:12" x14ac:dyDescent="0.35">
      <c r="A15" t="s">
        <v>230</v>
      </c>
      <c r="B15" s="7">
        <v>-2017</v>
      </c>
      <c r="C15" s="7"/>
      <c r="D15" s="7">
        <v>-1314</v>
      </c>
      <c r="E15" s="7">
        <v>2207</v>
      </c>
      <c r="F15" s="7"/>
      <c r="G15" s="7"/>
      <c r="H15" s="7"/>
      <c r="I15" s="7">
        <v>-34</v>
      </c>
      <c r="J15" s="7"/>
      <c r="K15" s="7"/>
      <c r="L15" s="7">
        <v>-1158</v>
      </c>
    </row>
    <row r="16" spans="1:12" x14ac:dyDescent="0.35">
      <c r="A16" t="s">
        <v>70</v>
      </c>
      <c r="B16" s="7"/>
      <c r="C16" s="7">
        <v>-945906</v>
      </c>
      <c r="D16" s="7">
        <v>944966</v>
      </c>
      <c r="E16" s="7"/>
      <c r="F16" s="7"/>
      <c r="G16" s="7"/>
      <c r="H16" s="7"/>
      <c r="I16" s="7"/>
      <c r="J16" s="7"/>
      <c r="K16" s="7"/>
      <c r="L16" s="7">
        <v>-940</v>
      </c>
    </row>
    <row r="17" spans="1:12" x14ac:dyDescent="0.35">
      <c r="A17" t="s">
        <v>231</v>
      </c>
      <c r="B17" s="7">
        <v>-14825</v>
      </c>
      <c r="C17" s="7"/>
      <c r="D17" s="7"/>
      <c r="E17" s="7"/>
      <c r="F17" s="7"/>
      <c r="G17" s="7"/>
      <c r="H17" s="7"/>
      <c r="I17" s="7"/>
      <c r="J17" s="7"/>
      <c r="K17" s="7"/>
      <c r="L17" s="7">
        <v>-14825</v>
      </c>
    </row>
    <row r="18" spans="1:12" x14ac:dyDescent="0.35">
      <c r="A18" t="s">
        <v>232</v>
      </c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</row>
    <row r="19" spans="1:12" x14ac:dyDescent="0.35">
      <c r="A19" t="s">
        <v>233</v>
      </c>
      <c r="B19" s="7"/>
      <c r="C19" s="7">
        <v>604</v>
      </c>
      <c r="D19" s="7">
        <v>-87</v>
      </c>
      <c r="E19" s="7">
        <v>-1428</v>
      </c>
      <c r="F19" s="7"/>
      <c r="G19" s="7"/>
      <c r="H19" s="7"/>
      <c r="I19" s="7">
        <v>-274</v>
      </c>
      <c r="J19" s="7"/>
      <c r="K19" s="7"/>
      <c r="L19" s="7">
        <v>-1185</v>
      </c>
    </row>
    <row r="20" spans="1:12" x14ac:dyDescent="0.35">
      <c r="A20" t="s">
        <v>234</v>
      </c>
      <c r="B20" s="7">
        <v>-1061</v>
      </c>
      <c r="C20" s="7">
        <v>-420</v>
      </c>
      <c r="D20" s="7">
        <v>-66059</v>
      </c>
      <c r="E20" s="7">
        <v>-63542</v>
      </c>
      <c r="F20" s="7"/>
      <c r="G20" s="7"/>
      <c r="H20" s="7"/>
      <c r="I20" s="7"/>
      <c r="J20" s="7">
        <v>-30440</v>
      </c>
      <c r="K20" s="7">
        <v>-864</v>
      </c>
      <c r="L20" s="7">
        <v>-162385</v>
      </c>
    </row>
    <row r="21" spans="1:12" x14ac:dyDescent="0.35">
      <c r="A21" t="s">
        <v>235</v>
      </c>
      <c r="B21" s="7">
        <v>-41</v>
      </c>
      <c r="C21" s="7"/>
      <c r="D21" s="7"/>
      <c r="E21" s="7"/>
      <c r="F21" s="7"/>
      <c r="G21" s="7"/>
      <c r="H21" s="7"/>
      <c r="I21" s="7"/>
      <c r="J21" s="7">
        <v>-26883</v>
      </c>
      <c r="K21" s="7">
        <v>-1468</v>
      </c>
      <c r="L21" s="7">
        <v>-28392</v>
      </c>
    </row>
    <row r="22" spans="1:12" x14ac:dyDescent="0.35">
      <c r="A22" t="s">
        <v>131</v>
      </c>
      <c r="B22" s="7">
        <v>35431</v>
      </c>
      <c r="C22" s="7"/>
      <c r="D22" s="7">
        <v>854446</v>
      </c>
      <c r="E22" s="7">
        <v>390869</v>
      </c>
      <c r="F22" s="7"/>
      <c r="G22" s="7"/>
      <c r="H22" s="7">
        <v>431</v>
      </c>
      <c r="I22" s="7">
        <v>52249</v>
      </c>
      <c r="J22" s="7">
        <v>312327</v>
      </c>
      <c r="K22" s="7">
        <v>8163</v>
      </c>
      <c r="L22" s="7">
        <v>1653914</v>
      </c>
    </row>
    <row r="23" spans="1:12" x14ac:dyDescent="0.35">
      <c r="A23" t="s">
        <v>80</v>
      </c>
      <c r="B23" s="7">
        <v>32085</v>
      </c>
      <c r="C23" s="7"/>
      <c r="D23" s="7">
        <v>41149</v>
      </c>
      <c r="E23" s="7">
        <v>141290</v>
      </c>
      <c r="F23" s="7"/>
      <c r="G23" s="7"/>
      <c r="H23" s="7">
        <v>1</v>
      </c>
      <c r="I23" s="7">
        <v>20921</v>
      </c>
      <c r="J23" s="7">
        <v>112741</v>
      </c>
      <c r="K23" s="7">
        <v>6025</v>
      </c>
      <c r="L23" s="7">
        <v>354213</v>
      </c>
    </row>
    <row r="24" spans="1:12" x14ac:dyDescent="0.35">
      <c r="A24" t="s">
        <v>82</v>
      </c>
      <c r="B24" s="7"/>
      <c r="C24" s="7"/>
      <c r="D24" s="7">
        <v>585364</v>
      </c>
      <c r="E24" s="7">
        <v>21454</v>
      </c>
      <c r="F24" s="7"/>
      <c r="G24" s="7"/>
      <c r="H24" s="7"/>
      <c r="I24" s="7">
        <v>2649</v>
      </c>
      <c r="J24" s="7">
        <v>766</v>
      </c>
      <c r="K24" s="7"/>
      <c r="L24" s="7">
        <v>610233</v>
      </c>
    </row>
    <row r="25" spans="1:12" x14ac:dyDescent="0.35">
      <c r="A25" t="s">
        <v>86</v>
      </c>
      <c r="B25" s="7">
        <v>1817</v>
      </c>
      <c r="C25" s="7"/>
      <c r="D25" s="7">
        <v>41199</v>
      </c>
      <c r="E25" s="7">
        <v>127316</v>
      </c>
      <c r="F25" s="7"/>
      <c r="G25" s="7"/>
      <c r="H25" s="7">
        <v>14</v>
      </c>
      <c r="I25" s="7">
        <v>27261</v>
      </c>
      <c r="J25" s="7">
        <v>103944</v>
      </c>
      <c r="K25" s="7"/>
      <c r="L25" s="7">
        <v>301552</v>
      </c>
    </row>
    <row r="26" spans="1:12" x14ac:dyDescent="0.35">
      <c r="A26" t="s">
        <v>88</v>
      </c>
      <c r="B26" s="7">
        <v>1104</v>
      </c>
      <c r="C26" s="7"/>
      <c r="D26" s="7">
        <v>19044</v>
      </c>
      <c r="E26" s="7">
        <v>80060</v>
      </c>
      <c r="F26" s="7"/>
      <c r="G26" s="7"/>
      <c r="H26" s="7">
        <v>10</v>
      </c>
      <c r="I26" s="7">
        <v>1417</v>
      </c>
      <c r="J26" s="7">
        <v>93483</v>
      </c>
      <c r="K26" s="7">
        <v>2135</v>
      </c>
      <c r="L26" s="7">
        <v>197252</v>
      </c>
    </row>
    <row r="27" spans="1:12" x14ac:dyDescent="0.35">
      <c r="A27" t="s">
        <v>90</v>
      </c>
      <c r="B27" s="7"/>
      <c r="C27" s="7"/>
      <c r="D27" s="7">
        <v>19427</v>
      </c>
      <c r="E27" s="7">
        <v>492</v>
      </c>
      <c r="F27" s="7"/>
      <c r="G27" s="7"/>
      <c r="H27" s="7"/>
      <c r="I27" s="7"/>
      <c r="J27" s="7">
        <v>1383</v>
      </c>
      <c r="K27" s="7">
        <v>2</v>
      </c>
      <c r="L27" s="7">
        <v>21304</v>
      </c>
    </row>
    <row r="28" spans="1:12" x14ac:dyDescent="0.35">
      <c r="A28" t="s">
        <v>92</v>
      </c>
      <c r="B28" s="7">
        <v>31</v>
      </c>
      <c r="C28" s="7"/>
      <c r="D28" s="7">
        <v>96</v>
      </c>
      <c r="E28" s="7"/>
      <c r="F28" s="7"/>
      <c r="G28" s="7"/>
      <c r="H28" s="7"/>
      <c r="I28" s="7"/>
      <c r="J28" s="7">
        <v>10</v>
      </c>
      <c r="K28" s="7"/>
      <c r="L28" s="7">
        <v>137</v>
      </c>
    </row>
    <row r="29" spans="1:12" x14ac:dyDescent="0.35">
      <c r="A29" t="s">
        <v>94</v>
      </c>
      <c r="B29" s="7"/>
      <c r="C29" s="7"/>
      <c r="D29" s="7"/>
      <c r="E29" s="7"/>
      <c r="F29" s="7"/>
      <c r="G29" s="7"/>
      <c r="H29" s="7">
        <v>406</v>
      </c>
      <c r="I29" s="7"/>
      <c r="J29" s="7"/>
      <c r="K29" s="7"/>
      <c r="L29" s="7">
        <v>406</v>
      </c>
    </row>
    <row r="30" spans="1:12" x14ac:dyDescent="0.35">
      <c r="A30" t="s">
        <v>236</v>
      </c>
      <c r="B30" s="7">
        <v>393</v>
      </c>
      <c r="C30" s="7"/>
      <c r="D30" s="7">
        <v>148167</v>
      </c>
      <c r="E30" s="7">
        <v>20257</v>
      </c>
      <c r="F30" s="7"/>
      <c r="G30" s="7"/>
      <c r="H30" s="7"/>
      <c r="I30" s="7"/>
      <c r="J30" s="7"/>
      <c r="K30" s="7"/>
      <c r="L30" s="7">
        <v>168817</v>
      </c>
    </row>
    <row r="32" spans="1:12" x14ac:dyDescent="0.35">
      <c r="B32" s="7">
        <f>SUM(B9,B10:B21,B22*-1)</f>
        <v>0</v>
      </c>
      <c r="C32" s="7">
        <f t="shared" ref="C32:L32" si="0">SUM(C9,C10:C21,C22*-1)</f>
        <v>-1</v>
      </c>
      <c r="D32" s="7">
        <f t="shared" si="0"/>
        <v>1</v>
      </c>
      <c r="E32" s="7">
        <f t="shared" si="0"/>
        <v>0</v>
      </c>
      <c r="F32" s="7">
        <f t="shared" si="0"/>
        <v>0</v>
      </c>
      <c r="G32" s="7">
        <f t="shared" si="0"/>
        <v>0</v>
      </c>
      <c r="H32" s="7">
        <f t="shared" si="0"/>
        <v>0</v>
      </c>
      <c r="I32" s="7">
        <f t="shared" si="0"/>
        <v>-1</v>
      </c>
      <c r="J32" s="7">
        <f t="shared" si="0"/>
        <v>0</v>
      </c>
      <c r="K32" s="7">
        <f t="shared" si="0"/>
        <v>0</v>
      </c>
      <c r="L32" s="7">
        <f t="shared" si="0"/>
        <v>-1</v>
      </c>
    </row>
  </sheetData>
  <pageMargins left="0.7" right="0.7" top="0.75" bottom="0.75" header="0.3" footer="0.3"/>
  <pageSetup paperSize="9" orientation="portrait" horizontalDpi="4294967293" verticalDpi="4294967293" r:id="rId1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sheetPr codeName="Ark82"/>
  <dimension ref="A1:L32"/>
  <sheetViews>
    <sheetView workbookViewId="0">
      <selection activeCell="D37" sqref="D37"/>
    </sheetView>
  </sheetViews>
  <sheetFormatPr defaultRowHeight="14.5" x14ac:dyDescent="0.35"/>
  <cols>
    <col min="1" max="1" width="30" customWidth="1"/>
    <col min="2" max="2" width="11.54296875" customWidth="1"/>
    <col min="3" max="3" width="12" customWidth="1"/>
    <col min="4" max="4" width="14.54296875" customWidth="1"/>
    <col min="5" max="5" width="14.1796875" customWidth="1"/>
    <col min="8" max="8" width="22.81640625" customWidth="1"/>
    <col min="9" max="9" width="21.81640625" customWidth="1"/>
    <col min="10" max="10" width="13.81640625" customWidth="1"/>
    <col min="11" max="11" width="12.26953125" customWidth="1"/>
    <col min="12" max="12" width="11.81640625" customWidth="1"/>
  </cols>
  <sheetData>
    <row r="1" spans="1:12" x14ac:dyDescent="0.35">
      <c r="A1" s="91"/>
      <c r="B1" t="s">
        <v>214</v>
      </c>
      <c r="C1" t="s">
        <v>2</v>
      </c>
      <c r="D1" t="s">
        <v>215</v>
      </c>
      <c r="E1" t="s">
        <v>216</v>
      </c>
      <c r="F1" t="s">
        <v>5</v>
      </c>
      <c r="G1" t="s">
        <v>6</v>
      </c>
      <c r="H1" t="s">
        <v>217</v>
      </c>
      <c r="I1" t="s">
        <v>8</v>
      </c>
      <c r="J1" t="s">
        <v>9</v>
      </c>
      <c r="K1" t="s">
        <v>10</v>
      </c>
      <c r="L1" t="s">
        <v>218</v>
      </c>
    </row>
    <row r="2" spans="1:12" x14ac:dyDescent="0.35">
      <c r="B2" t="s">
        <v>219</v>
      </c>
      <c r="C2" t="s">
        <v>219</v>
      </c>
      <c r="D2" t="s">
        <v>219</v>
      </c>
      <c r="E2" t="s">
        <v>219</v>
      </c>
      <c r="F2" t="s">
        <v>219</v>
      </c>
      <c r="G2" t="s">
        <v>219</v>
      </c>
      <c r="H2" t="s">
        <v>219</v>
      </c>
      <c r="I2" t="s">
        <v>219</v>
      </c>
      <c r="J2" t="s">
        <v>219</v>
      </c>
      <c r="K2" t="s">
        <v>219</v>
      </c>
      <c r="L2" t="s">
        <v>219</v>
      </c>
    </row>
    <row r="3" spans="1:12" x14ac:dyDescent="0.35">
      <c r="A3" t="s">
        <v>17</v>
      </c>
      <c r="B3" s="7">
        <v>577185</v>
      </c>
      <c r="C3" s="7">
        <v>665651</v>
      </c>
      <c r="D3" s="7"/>
      <c r="E3" s="7">
        <v>630294</v>
      </c>
      <c r="F3" s="7">
        <v>228963</v>
      </c>
      <c r="G3" s="7">
        <v>57039</v>
      </c>
      <c r="H3" s="7">
        <v>20312</v>
      </c>
      <c r="I3" s="7">
        <v>100727</v>
      </c>
      <c r="J3" s="7"/>
      <c r="K3" s="7"/>
      <c r="L3" s="7">
        <v>2280172</v>
      </c>
    </row>
    <row r="4" spans="1:12" x14ac:dyDescent="0.35">
      <c r="A4" t="s">
        <v>220</v>
      </c>
      <c r="B4" s="7">
        <v>30025</v>
      </c>
      <c r="C4" s="7">
        <v>581543</v>
      </c>
      <c r="D4" s="7">
        <v>105970</v>
      </c>
      <c r="E4" s="7">
        <v>95190</v>
      </c>
      <c r="F4" s="7"/>
      <c r="G4" s="7"/>
      <c r="H4" s="7"/>
      <c r="I4" s="7">
        <v>64</v>
      </c>
      <c r="J4" s="7">
        <v>5692</v>
      </c>
      <c r="K4" s="7"/>
      <c r="L4" s="7">
        <v>818485</v>
      </c>
    </row>
    <row r="5" spans="1:12" x14ac:dyDescent="0.35">
      <c r="A5" t="s">
        <v>221</v>
      </c>
      <c r="B5" s="7">
        <v>-57614</v>
      </c>
      <c r="C5" s="7">
        <v>-177985</v>
      </c>
      <c r="D5" s="7">
        <v>-64570</v>
      </c>
      <c r="E5" s="7">
        <v>-88462</v>
      </c>
      <c r="F5" s="7"/>
      <c r="G5" s="7"/>
      <c r="H5" s="7"/>
      <c r="I5" s="7">
        <v>-89</v>
      </c>
      <c r="J5" s="7">
        <v>-5663</v>
      </c>
      <c r="K5" s="7"/>
      <c r="L5" s="7">
        <v>-394383</v>
      </c>
    </row>
    <row r="6" spans="1:12" x14ac:dyDescent="0.35">
      <c r="A6" t="s">
        <v>222</v>
      </c>
      <c r="B6" s="7"/>
      <c r="C6" s="7"/>
      <c r="D6" s="7">
        <v>-30911</v>
      </c>
      <c r="E6" s="7"/>
      <c r="F6" s="7"/>
      <c r="G6" s="7"/>
      <c r="H6" s="7"/>
      <c r="I6" s="7"/>
      <c r="J6" s="7"/>
      <c r="K6" s="7"/>
      <c r="L6" s="7">
        <v>-30911</v>
      </c>
    </row>
    <row r="7" spans="1:12" x14ac:dyDescent="0.35">
      <c r="A7" t="s">
        <v>223</v>
      </c>
      <c r="B7" s="7"/>
      <c r="C7" s="7"/>
      <c r="D7" s="7">
        <v>-23382</v>
      </c>
      <c r="E7" s="7"/>
      <c r="F7" s="7"/>
      <c r="G7" s="7"/>
      <c r="H7" s="7"/>
      <c r="I7" s="7"/>
      <c r="J7" s="7"/>
      <c r="K7" s="7"/>
      <c r="L7" s="7">
        <v>-23382</v>
      </c>
    </row>
    <row r="8" spans="1:12" x14ac:dyDescent="0.35">
      <c r="A8" t="s">
        <v>224</v>
      </c>
      <c r="B8" s="7">
        <v>25993</v>
      </c>
      <c r="C8" s="7">
        <v>1952</v>
      </c>
      <c r="D8" s="7">
        <v>-212</v>
      </c>
      <c r="E8" s="7">
        <v>25665</v>
      </c>
      <c r="F8" s="7"/>
      <c r="G8" s="7"/>
      <c r="H8" s="7"/>
      <c r="I8" s="7">
        <v>51</v>
      </c>
      <c r="J8" s="7"/>
      <c r="K8" s="7"/>
      <c r="L8" s="7">
        <v>53448</v>
      </c>
    </row>
    <row r="9" spans="1:12" x14ac:dyDescent="0.35">
      <c r="A9" t="s">
        <v>225</v>
      </c>
      <c r="B9" s="7">
        <v>575590</v>
      </c>
      <c r="C9" s="7">
        <v>1071161</v>
      </c>
      <c r="D9" s="7">
        <v>-13106</v>
      </c>
      <c r="E9" s="7">
        <v>662686</v>
      </c>
      <c r="F9" s="7">
        <v>228963</v>
      </c>
      <c r="G9" s="7">
        <v>57039</v>
      </c>
      <c r="H9" s="7">
        <v>20312</v>
      </c>
      <c r="I9" s="7">
        <v>100754</v>
      </c>
      <c r="J9" s="7">
        <v>29</v>
      </c>
      <c r="K9" s="7"/>
      <c r="L9" s="7">
        <v>2703427</v>
      </c>
    </row>
    <row r="10" spans="1:12" x14ac:dyDescent="0.35">
      <c r="A10" t="s">
        <v>226</v>
      </c>
      <c r="B10" s="7"/>
      <c r="C10" s="7">
        <v>-54140</v>
      </c>
      <c r="D10" s="7">
        <v>62996</v>
      </c>
      <c r="E10" s="7"/>
      <c r="F10" s="7"/>
      <c r="G10" s="7"/>
      <c r="H10" s="7"/>
      <c r="I10" s="7"/>
      <c r="J10" s="7"/>
      <c r="K10" s="7"/>
      <c r="L10" s="7">
        <v>8856</v>
      </c>
    </row>
    <row r="11" spans="1:12" x14ac:dyDescent="0.35">
      <c r="A11" t="s">
        <v>227</v>
      </c>
      <c r="B11" s="7">
        <v>14883</v>
      </c>
      <c r="C11" s="7">
        <v>-4740</v>
      </c>
      <c r="D11" s="7">
        <v>24789</v>
      </c>
      <c r="E11" s="7">
        <v>-6092</v>
      </c>
      <c r="F11" s="7"/>
      <c r="G11" s="7"/>
      <c r="H11" s="7"/>
      <c r="I11" s="7">
        <v>233</v>
      </c>
      <c r="J11" s="7">
        <v>-1659</v>
      </c>
      <c r="K11" s="7">
        <v>-48</v>
      </c>
      <c r="L11" s="7">
        <v>27365</v>
      </c>
    </row>
    <row r="12" spans="1:12" x14ac:dyDescent="0.35">
      <c r="A12" t="s">
        <v>228</v>
      </c>
      <c r="B12" s="7">
        <v>-514168</v>
      </c>
      <c r="C12" s="7">
        <v>-501</v>
      </c>
      <c r="D12" s="7">
        <v>-74803</v>
      </c>
      <c r="E12" s="7">
        <v>-110730</v>
      </c>
      <c r="F12" s="7">
        <v>-228963</v>
      </c>
      <c r="G12" s="7">
        <v>-57039</v>
      </c>
      <c r="H12" s="7">
        <v>-18309</v>
      </c>
      <c r="I12" s="7">
        <v>-12040</v>
      </c>
      <c r="J12" s="7">
        <v>388128</v>
      </c>
      <c r="K12" s="7"/>
      <c r="L12" s="7">
        <v>-628426</v>
      </c>
    </row>
    <row r="13" spans="1:12" x14ac:dyDescent="0.35">
      <c r="A13" t="s">
        <v>66</v>
      </c>
      <c r="B13" s="7">
        <v>-21221</v>
      </c>
      <c r="C13" s="7"/>
      <c r="D13" s="7">
        <v>-9029</v>
      </c>
      <c r="E13" s="7">
        <v>-45917</v>
      </c>
      <c r="F13" s="7"/>
      <c r="G13" s="7"/>
      <c r="H13" s="7"/>
      <c r="I13" s="7">
        <v>-12296</v>
      </c>
      <c r="J13" s="7">
        <v>31238</v>
      </c>
      <c r="K13" s="7">
        <v>8560</v>
      </c>
      <c r="L13" s="7">
        <v>-48665</v>
      </c>
    </row>
    <row r="14" spans="1:12" x14ac:dyDescent="0.35">
      <c r="A14" t="s">
        <v>229</v>
      </c>
      <c r="B14" s="7"/>
      <c r="C14" s="7"/>
      <c r="D14" s="7"/>
      <c r="E14" s="7"/>
      <c r="F14" s="7"/>
      <c r="G14" s="7"/>
      <c r="H14" s="7"/>
      <c r="I14" s="7">
        <v>-63</v>
      </c>
      <c r="J14" s="7"/>
      <c r="K14" s="7">
        <v>33</v>
      </c>
      <c r="L14" s="7">
        <v>-30</v>
      </c>
    </row>
    <row r="15" spans="1:12" x14ac:dyDescent="0.35">
      <c r="A15" t="s">
        <v>230</v>
      </c>
      <c r="B15" s="7">
        <v>-1828</v>
      </c>
      <c r="C15" s="7"/>
      <c r="D15" s="7">
        <v>-1147</v>
      </c>
      <c r="E15" s="7">
        <v>1960</v>
      </c>
      <c r="F15" s="7"/>
      <c r="G15" s="7"/>
      <c r="H15" s="7"/>
      <c r="I15" s="7">
        <v>-5</v>
      </c>
      <c r="J15" s="7"/>
      <c r="K15" s="7"/>
      <c r="L15" s="7">
        <v>-1020</v>
      </c>
    </row>
    <row r="16" spans="1:12" x14ac:dyDescent="0.35">
      <c r="A16" t="s">
        <v>70</v>
      </c>
      <c r="B16" s="7"/>
      <c r="C16" s="7">
        <v>-1011919</v>
      </c>
      <c r="D16" s="7">
        <v>1016284</v>
      </c>
      <c r="E16" s="7"/>
      <c r="F16" s="7"/>
      <c r="G16" s="7"/>
      <c r="H16" s="7"/>
      <c r="I16" s="7"/>
      <c r="J16" s="7"/>
      <c r="K16" s="7"/>
      <c r="L16" s="7">
        <v>4364</v>
      </c>
    </row>
    <row r="17" spans="1:12" x14ac:dyDescent="0.35">
      <c r="A17" t="s">
        <v>231</v>
      </c>
      <c r="B17" s="7">
        <v>-13643</v>
      </c>
      <c r="C17" s="7"/>
      <c r="D17" s="7"/>
      <c r="E17" s="7"/>
      <c r="F17" s="7"/>
      <c r="G17" s="7"/>
      <c r="H17" s="7"/>
      <c r="I17" s="7"/>
      <c r="J17" s="7"/>
      <c r="K17" s="7"/>
      <c r="L17" s="7">
        <v>-13643</v>
      </c>
    </row>
    <row r="18" spans="1:12" x14ac:dyDescent="0.35">
      <c r="A18" t="s">
        <v>232</v>
      </c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</row>
    <row r="19" spans="1:12" x14ac:dyDescent="0.35">
      <c r="A19" t="s">
        <v>233</v>
      </c>
      <c r="B19" s="7"/>
      <c r="C19" s="7">
        <v>490</v>
      </c>
      <c r="D19" s="7">
        <v>-47</v>
      </c>
      <c r="E19" s="7">
        <v>-1456</v>
      </c>
      <c r="F19" s="7"/>
      <c r="G19" s="7"/>
      <c r="H19" s="7"/>
      <c r="I19" s="7">
        <v>-278</v>
      </c>
      <c r="J19" s="7"/>
      <c r="K19" s="7"/>
      <c r="L19" s="7">
        <v>-1292</v>
      </c>
    </row>
    <row r="20" spans="1:12" x14ac:dyDescent="0.35">
      <c r="A20" t="s">
        <v>234</v>
      </c>
      <c r="B20" s="7">
        <v>-1858</v>
      </c>
      <c r="C20" s="7">
        <v>-350</v>
      </c>
      <c r="D20" s="7">
        <v>-65907</v>
      </c>
      <c r="E20" s="7">
        <v>-71174</v>
      </c>
      <c r="F20" s="7"/>
      <c r="G20" s="7"/>
      <c r="H20" s="7"/>
      <c r="I20" s="7"/>
      <c r="J20" s="7">
        <v>-33311</v>
      </c>
      <c r="K20" s="7">
        <v>-1291</v>
      </c>
      <c r="L20" s="7">
        <v>-173891</v>
      </c>
    </row>
    <row r="21" spans="1:12" x14ac:dyDescent="0.35">
      <c r="A21" t="s">
        <v>235</v>
      </c>
      <c r="B21" s="7">
        <v>-37</v>
      </c>
      <c r="C21" s="7"/>
      <c r="D21" s="7"/>
      <c r="E21" s="7"/>
      <c r="F21" s="7"/>
      <c r="G21" s="7"/>
      <c r="H21" s="7"/>
      <c r="I21" s="7"/>
      <c r="J21" s="7">
        <v>-26466</v>
      </c>
      <c r="K21" s="7">
        <v>-1160</v>
      </c>
      <c r="L21" s="7">
        <v>-27664</v>
      </c>
    </row>
    <row r="22" spans="1:12" x14ac:dyDescent="0.35">
      <c r="A22" t="s">
        <v>131</v>
      </c>
      <c r="B22" s="7">
        <v>37718</v>
      </c>
      <c r="C22" s="7"/>
      <c r="D22" s="7">
        <v>940029</v>
      </c>
      <c r="E22" s="7">
        <v>429276</v>
      </c>
      <c r="F22" s="7"/>
      <c r="G22" s="7"/>
      <c r="H22" s="7">
        <v>2003</v>
      </c>
      <c r="I22" s="7">
        <v>76305</v>
      </c>
      <c r="J22" s="7">
        <v>357959</v>
      </c>
      <c r="K22" s="7">
        <v>6094</v>
      </c>
      <c r="L22" s="7">
        <v>1849384</v>
      </c>
    </row>
    <row r="23" spans="1:12" x14ac:dyDescent="0.35">
      <c r="A23" t="s">
        <v>80</v>
      </c>
      <c r="B23" s="7">
        <v>34994</v>
      </c>
      <c r="C23" s="7"/>
      <c r="D23" s="7">
        <v>41646</v>
      </c>
      <c r="E23" s="7">
        <v>169028</v>
      </c>
      <c r="F23" s="7"/>
      <c r="G23" s="7"/>
      <c r="H23" s="7">
        <v>113</v>
      </c>
      <c r="I23" s="7">
        <v>46267</v>
      </c>
      <c r="J23" s="7">
        <v>125001</v>
      </c>
      <c r="K23" s="7">
        <v>4977</v>
      </c>
      <c r="L23" s="7">
        <v>422025</v>
      </c>
    </row>
    <row r="24" spans="1:12" x14ac:dyDescent="0.35">
      <c r="A24" t="s">
        <v>82</v>
      </c>
      <c r="B24" s="7"/>
      <c r="C24" s="7"/>
      <c r="D24" s="7">
        <v>657738</v>
      </c>
      <c r="E24" s="7">
        <v>19952</v>
      </c>
      <c r="F24" s="7"/>
      <c r="G24" s="7"/>
      <c r="H24" s="7"/>
      <c r="I24" s="7">
        <v>3321</v>
      </c>
      <c r="J24" s="7">
        <v>882</v>
      </c>
      <c r="K24" s="7"/>
      <c r="L24" s="7">
        <v>681893</v>
      </c>
    </row>
    <row r="25" spans="1:12" x14ac:dyDescent="0.35">
      <c r="A25" t="s">
        <v>86</v>
      </c>
      <c r="B25" s="7">
        <v>1388</v>
      </c>
      <c r="C25" s="7"/>
      <c r="D25" s="7">
        <v>43878</v>
      </c>
      <c r="E25" s="7">
        <v>130817</v>
      </c>
      <c r="F25" s="7"/>
      <c r="G25" s="7"/>
      <c r="H25" s="7">
        <v>1682</v>
      </c>
      <c r="I25" s="7">
        <v>23976</v>
      </c>
      <c r="J25" s="7">
        <v>118056</v>
      </c>
      <c r="K25" s="7"/>
      <c r="L25" s="7">
        <v>319796</v>
      </c>
    </row>
    <row r="26" spans="1:12" x14ac:dyDescent="0.35">
      <c r="A26" t="s">
        <v>88</v>
      </c>
      <c r="B26" s="7">
        <v>909</v>
      </c>
      <c r="C26" s="7"/>
      <c r="D26" s="7">
        <v>19884</v>
      </c>
      <c r="E26" s="7">
        <v>84216</v>
      </c>
      <c r="F26" s="7"/>
      <c r="G26" s="7"/>
      <c r="H26" s="7">
        <v>208</v>
      </c>
      <c r="I26" s="7">
        <v>1243</v>
      </c>
      <c r="J26" s="7">
        <v>112486</v>
      </c>
      <c r="K26" s="7">
        <v>1116</v>
      </c>
      <c r="L26" s="7">
        <v>220062</v>
      </c>
    </row>
    <row r="27" spans="1:12" x14ac:dyDescent="0.35">
      <c r="A27" t="s">
        <v>90</v>
      </c>
      <c r="B27" s="7"/>
      <c r="C27" s="7"/>
      <c r="D27" s="7">
        <v>19047</v>
      </c>
      <c r="E27" s="7">
        <v>586</v>
      </c>
      <c r="F27" s="7"/>
      <c r="G27" s="7"/>
      <c r="H27" s="7"/>
      <c r="I27" s="7"/>
      <c r="J27" s="7">
        <v>1505</v>
      </c>
      <c r="K27" s="7">
        <v>1</v>
      </c>
      <c r="L27" s="7">
        <v>21140</v>
      </c>
    </row>
    <row r="28" spans="1:12" x14ac:dyDescent="0.35">
      <c r="A28" t="s">
        <v>92</v>
      </c>
      <c r="B28" s="7">
        <v>9</v>
      </c>
      <c r="C28" s="7"/>
      <c r="D28" s="7">
        <v>168</v>
      </c>
      <c r="E28" s="7"/>
      <c r="F28" s="7"/>
      <c r="G28" s="7"/>
      <c r="H28" s="7"/>
      <c r="I28" s="7"/>
      <c r="J28" s="7">
        <v>14</v>
      </c>
      <c r="K28" s="7"/>
      <c r="L28" s="7">
        <v>191</v>
      </c>
    </row>
    <row r="29" spans="1:12" x14ac:dyDescent="0.35">
      <c r="A29" t="s">
        <v>94</v>
      </c>
      <c r="B29" s="7"/>
      <c r="C29" s="7"/>
      <c r="D29" s="7"/>
      <c r="E29" s="7"/>
      <c r="F29" s="7"/>
      <c r="G29" s="7"/>
      <c r="H29" s="7"/>
      <c r="I29" s="7">
        <v>1497</v>
      </c>
      <c r="J29" s="7">
        <v>15</v>
      </c>
      <c r="K29" s="7"/>
      <c r="L29" s="7">
        <v>1513</v>
      </c>
    </row>
    <row r="30" spans="1:12" x14ac:dyDescent="0.35">
      <c r="A30" t="s">
        <v>236</v>
      </c>
      <c r="B30" s="7">
        <v>418</v>
      </c>
      <c r="C30" s="7"/>
      <c r="D30" s="7">
        <v>157668</v>
      </c>
      <c r="E30" s="7">
        <v>24678</v>
      </c>
      <c r="F30" s="7"/>
      <c r="G30" s="7"/>
      <c r="H30" s="7"/>
      <c r="I30" s="7"/>
      <c r="J30" s="7"/>
      <c r="K30" s="7"/>
      <c r="L30" s="7">
        <v>182763</v>
      </c>
    </row>
    <row r="32" spans="1:12" x14ac:dyDescent="0.35">
      <c r="B32" s="7">
        <f>SUM(B9,B10:B21,B22*-1)</f>
        <v>0</v>
      </c>
      <c r="C32" s="7">
        <f t="shared" ref="C32:L32" si="0">SUM(C9,C10:C21,C22*-1)</f>
        <v>1</v>
      </c>
      <c r="D32" s="7">
        <f t="shared" si="0"/>
        <v>1</v>
      </c>
      <c r="E32" s="7">
        <f t="shared" si="0"/>
        <v>1</v>
      </c>
      <c r="F32" s="7">
        <f t="shared" si="0"/>
        <v>0</v>
      </c>
      <c r="G32" s="7">
        <f t="shared" si="0"/>
        <v>0</v>
      </c>
      <c r="H32" s="7">
        <f t="shared" si="0"/>
        <v>0</v>
      </c>
      <c r="I32" s="7">
        <f t="shared" si="0"/>
        <v>0</v>
      </c>
      <c r="J32" s="7">
        <f t="shared" si="0"/>
        <v>0</v>
      </c>
      <c r="K32" s="7">
        <f t="shared" si="0"/>
        <v>0</v>
      </c>
      <c r="L32" s="7">
        <f t="shared" si="0"/>
        <v>-3</v>
      </c>
    </row>
  </sheetData>
  <pageMargins left="0.7" right="0.7" top="0.75" bottom="0.75" header="0.3" footer="0.3"/>
  <pageSetup paperSize="9" orientation="portrait" horizontalDpi="4294967293" verticalDpi="4294967293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L32"/>
  <sheetViews>
    <sheetView zoomScale="66" zoomScaleNormal="66" workbookViewId="0">
      <selection activeCell="I41" sqref="I41"/>
    </sheetView>
  </sheetViews>
  <sheetFormatPr defaultRowHeight="14.5" x14ac:dyDescent="0.35"/>
  <cols>
    <col min="1" max="1" width="36.54296875" customWidth="1"/>
    <col min="2" max="2" width="14.26953125" customWidth="1"/>
    <col min="3" max="3" width="14.1796875" customWidth="1"/>
    <col min="4" max="4" width="15" customWidth="1"/>
    <col min="5" max="5" width="13.453125" customWidth="1"/>
    <col min="6" max="6" width="13.7265625" customWidth="1"/>
    <col min="7" max="7" width="14.26953125" customWidth="1"/>
    <col min="8" max="8" width="26.26953125" customWidth="1"/>
    <col min="9" max="9" width="20.453125" customWidth="1"/>
    <col min="10" max="10" width="10.7265625" customWidth="1"/>
    <col min="11" max="11" width="12.81640625" customWidth="1"/>
    <col min="12" max="12" width="17.54296875" customWidth="1"/>
  </cols>
  <sheetData>
    <row r="1" spans="1:12" ht="30.75" customHeight="1" x14ac:dyDescent="0.35">
      <c r="B1" t="s">
        <v>214</v>
      </c>
      <c r="C1" t="s">
        <v>2</v>
      </c>
      <c r="D1" t="s">
        <v>215</v>
      </c>
      <c r="E1" t="s">
        <v>216</v>
      </c>
      <c r="F1" t="s">
        <v>5</v>
      </c>
      <c r="G1" t="s">
        <v>6</v>
      </c>
      <c r="H1" t="s">
        <v>217</v>
      </c>
      <c r="I1" t="s">
        <v>8</v>
      </c>
      <c r="J1" t="s">
        <v>9</v>
      </c>
      <c r="K1" t="s">
        <v>10</v>
      </c>
      <c r="L1" t="s">
        <v>218</v>
      </c>
    </row>
    <row r="2" spans="1:12" x14ac:dyDescent="0.35">
      <c r="B2" t="s">
        <v>219</v>
      </c>
      <c r="C2" t="s">
        <v>219</v>
      </c>
      <c r="D2" t="s">
        <v>219</v>
      </c>
      <c r="E2" t="s">
        <v>219</v>
      </c>
      <c r="F2" t="s">
        <v>219</v>
      </c>
      <c r="G2" t="s">
        <v>219</v>
      </c>
      <c r="H2" t="s">
        <v>219</v>
      </c>
      <c r="I2" t="s">
        <v>219</v>
      </c>
      <c r="J2" t="s">
        <v>219</v>
      </c>
      <c r="K2" t="s">
        <v>219</v>
      </c>
      <c r="L2" t="s">
        <v>219</v>
      </c>
    </row>
    <row r="3" spans="1:12" x14ac:dyDescent="0.35">
      <c r="A3" t="s">
        <v>17</v>
      </c>
      <c r="B3" s="7">
        <v>2997579</v>
      </c>
      <c r="C3" s="7">
        <v>4047845</v>
      </c>
      <c r="D3" s="7"/>
      <c r="E3" s="7">
        <v>2372242</v>
      </c>
      <c r="F3" s="7">
        <v>721706</v>
      </c>
      <c r="G3" s="7">
        <v>252334</v>
      </c>
      <c r="H3" s="7">
        <v>70143</v>
      </c>
      <c r="I3" s="7">
        <v>1087885</v>
      </c>
      <c r="J3" s="7"/>
      <c r="K3" s="7">
        <v>878</v>
      </c>
      <c r="L3" s="7">
        <v>11550613</v>
      </c>
    </row>
    <row r="4" spans="1:12" x14ac:dyDescent="0.35">
      <c r="A4" t="s">
        <v>220</v>
      </c>
      <c r="B4" s="7">
        <v>512939</v>
      </c>
      <c r="C4" s="7">
        <v>2318621</v>
      </c>
      <c r="D4" s="7">
        <v>911688</v>
      </c>
      <c r="E4" s="7">
        <v>708370</v>
      </c>
      <c r="F4" s="7"/>
      <c r="G4" s="7"/>
      <c r="H4" s="7"/>
      <c r="I4" s="7">
        <v>5003</v>
      </c>
      <c r="J4" s="7">
        <v>53187</v>
      </c>
      <c r="K4" s="7">
        <v>4</v>
      </c>
      <c r="L4" s="7">
        <v>4509812</v>
      </c>
    </row>
    <row r="5" spans="1:12" x14ac:dyDescent="0.35">
      <c r="A5" t="s">
        <v>221</v>
      </c>
      <c r="B5" s="7">
        <v>-528755</v>
      </c>
      <c r="C5" s="7">
        <v>-2271463</v>
      </c>
      <c r="D5" s="7">
        <v>-999194</v>
      </c>
      <c r="E5" s="7">
        <v>-726677</v>
      </c>
      <c r="F5" s="7"/>
      <c r="G5" s="7"/>
      <c r="H5" s="7"/>
      <c r="I5" s="7">
        <v>-4199</v>
      </c>
      <c r="J5" s="7">
        <v>-53490</v>
      </c>
      <c r="K5" s="7">
        <v>-9</v>
      </c>
      <c r="L5" s="7">
        <v>-4583787</v>
      </c>
    </row>
    <row r="6" spans="1:12" x14ac:dyDescent="0.35">
      <c r="A6" t="s">
        <v>222</v>
      </c>
      <c r="B6" s="7"/>
      <c r="C6" s="7"/>
      <c r="D6" s="7"/>
      <c r="E6" s="7"/>
      <c r="F6" s="7"/>
      <c r="G6" s="7"/>
      <c r="H6" s="7"/>
      <c r="I6" s="7"/>
      <c r="J6" s="7"/>
      <c r="K6" s="7"/>
      <c r="L6" s="7"/>
    </row>
    <row r="7" spans="1:12" x14ac:dyDescent="0.35">
      <c r="A7" t="s">
        <v>223</v>
      </c>
      <c r="B7" s="7"/>
      <c r="C7" s="7"/>
      <c r="D7" s="7"/>
      <c r="E7" s="7"/>
      <c r="F7" s="7"/>
      <c r="G7" s="7"/>
      <c r="H7" s="7"/>
      <c r="I7" s="7"/>
      <c r="J7" s="7"/>
      <c r="K7" s="7"/>
      <c r="L7" s="7"/>
    </row>
    <row r="8" spans="1:12" x14ac:dyDescent="0.35">
      <c r="A8" t="s">
        <v>224</v>
      </c>
      <c r="B8" s="7">
        <v>8838</v>
      </c>
      <c r="C8" s="7">
        <v>-2564</v>
      </c>
      <c r="D8" s="7">
        <v>5134</v>
      </c>
      <c r="E8" s="7">
        <v>6086</v>
      </c>
      <c r="F8" s="7"/>
      <c r="G8" s="7"/>
      <c r="H8" s="7"/>
      <c r="I8" s="7">
        <v>272</v>
      </c>
      <c r="J8" s="7"/>
      <c r="K8" s="7"/>
      <c r="L8" s="7">
        <v>17766</v>
      </c>
    </row>
    <row r="9" spans="1:12" x14ac:dyDescent="0.35">
      <c r="A9" t="s">
        <v>225</v>
      </c>
      <c r="B9" s="7">
        <v>2990601</v>
      </c>
      <c r="C9" s="7">
        <v>4092438</v>
      </c>
      <c r="D9" s="7">
        <v>-82371</v>
      </c>
      <c r="E9" s="7">
        <v>2360022</v>
      </c>
      <c r="F9" s="7">
        <v>721706</v>
      </c>
      <c r="G9" s="7">
        <v>252334</v>
      </c>
      <c r="H9" s="7">
        <v>70143</v>
      </c>
      <c r="I9" s="7">
        <v>1088960</v>
      </c>
      <c r="J9" s="7">
        <v>-302</v>
      </c>
      <c r="K9" s="7">
        <v>873</v>
      </c>
      <c r="L9" s="7">
        <v>11494403</v>
      </c>
    </row>
    <row r="10" spans="1:12" x14ac:dyDescent="0.35">
      <c r="A10" t="s">
        <v>226</v>
      </c>
      <c r="B10" s="7"/>
      <c r="C10" s="7">
        <v>-165738</v>
      </c>
      <c r="D10" s="7">
        <v>183249</v>
      </c>
      <c r="E10" s="7"/>
      <c r="F10" s="7"/>
      <c r="G10" s="7"/>
      <c r="H10" s="7"/>
      <c r="I10" s="7"/>
      <c r="J10" s="7"/>
      <c r="K10" s="7"/>
      <c r="L10" s="7">
        <v>17511</v>
      </c>
    </row>
    <row r="11" spans="1:12" x14ac:dyDescent="0.35">
      <c r="A11" t="s">
        <v>227</v>
      </c>
      <c r="B11" s="7">
        <v>6107</v>
      </c>
      <c r="C11" s="7">
        <v>-9318</v>
      </c>
      <c r="D11" s="7">
        <v>2329</v>
      </c>
      <c r="E11" s="7">
        <v>6662</v>
      </c>
      <c r="F11" s="7"/>
      <c r="G11" s="7"/>
      <c r="H11" s="7">
        <v>-15</v>
      </c>
      <c r="I11" s="7">
        <v>220</v>
      </c>
      <c r="J11" s="7">
        <v>1702</v>
      </c>
      <c r="K11" s="7">
        <v>159</v>
      </c>
      <c r="L11" s="7">
        <v>7847</v>
      </c>
    </row>
    <row r="12" spans="1:12" x14ac:dyDescent="0.35">
      <c r="A12" t="s">
        <v>228</v>
      </c>
      <c r="B12" s="7">
        <v>-1402568</v>
      </c>
      <c r="C12" s="7">
        <v>-22838</v>
      </c>
      <c r="D12" s="7">
        <v>-223792</v>
      </c>
      <c r="E12" s="7">
        <v>-534600</v>
      </c>
      <c r="F12" s="7">
        <v>-710298</v>
      </c>
      <c r="G12" s="7">
        <v>-252334</v>
      </c>
      <c r="H12" s="7">
        <v>-56500</v>
      </c>
      <c r="I12" s="7">
        <v>-38990</v>
      </c>
      <c r="J12" s="7">
        <v>1323385</v>
      </c>
      <c r="K12" s="7">
        <v>-515</v>
      </c>
      <c r="L12" s="7">
        <v>-1919050</v>
      </c>
    </row>
    <row r="13" spans="1:12" x14ac:dyDescent="0.35">
      <c r="A13" t="s">
        <v>66</v>
      </c>
      <c r="B13" s="7">
        <v>-463952</v>
      </c>
      <c r="C13" s="7">
        <v>-61</v>
      </c>
      <c r="D13" s="7">
        <v>-33820</v>
      </c>
      <c r="E13" s="7">
        <v>-295435</v>
      </c>
      <c r="F13" s="7">
        <v>-11407</v>
      </c>
      <c r="G13" s="7"/>
      <c r="H13" s="7">
        <v>-958</v>
      </c>
      <c r="I13" s="7">
        <v>-33835</v>
      </c>
      <c r="J13" s="7">
        <v>248677</v>
      </c>
      <c r="K13" s="7">
        <v>193346</v>
      </c>
      <c r="L13" s="7">
        <v>-397446</v>
      </c>
    </row>
    <row r="14" spans="1:12" x14ac:dyDescent="0.35">
      <c r="A14" t="s">
        <v>229</v>
      </c>
      <c r="B14" s="7">
        <v>-23505</v>
      </c>
      <c r="C14" s="7">
        <v>-792</v>
      </c>
      <c r="D14" s="7">
        <v>-14926</v>
      </c>
      <c r="E14" s="7">
        <v>-93786</v>
      </c>
      <c r="F14" s="7"/>
      <c r="G14" s="7"/>
      <c r="H14" s="7">
        <v>-641</v>
      </c>
      <c r="I14" s="7">
        <v>-7491</v>
      </c>
      <c r="J14" s="7">
        <v>-366</v>
      </c>
      <c r="K14" s="7">
        <v>125488</v>
      </c>
      <c r="L14" s="7">
        <v>-16019</v>
      </c>
    </row>
    <row r="15" spans="1:12" x14ac:dyDescent="0.35">
      <c r="A15" t="s">
        <v>230</v>
      </c>
      <c r="B15" s="7">
        <v>-9255</v>
      </c>
      <c r="C15" s="7"/>
      <c r="D15" s="7">
        <v>-3931</v>
      </c>
      <c r="E15" s="7">
        <v>4174</v>
      </c>
      <c r="F15" s="7"/>
      <c r="G15" s="7"/>
      <c r="H15" s="7"/>
      <c r="I15" s="7">
        <v>-12</v>
      </c>
      <c r="J15" s="7"/>
      <c r="K15" s="7"/>
      <c r="L15" s="7">
        <v>-9024</v>
      </c>
    </row>
    <row r="16" spans="1:12" x14ac:dyDescent="0.35">
      <c r="A16" t="s">
        <v>70</v>
      </c>
      <c r="B16" s="7"/>
      <c r="C16" s="7">
        <v>-3902798</v>
      </c>
      <c r="D16" s="7">
        <v>3858918</v>
      </c>
      <c r="E16" s="7"/>
      <c r="F16" s="7"/>
      <c r="G16" s="7"/>
      <c r="H16" s="7"/>
      <c r="I16" s="7"/>
      <c r="J16" s="7"/>
      <c r="K16" s="7"/>
      <c r="L16" s="7">
        <v>-43880</v>
      </c>
    </row>
    <row r="17" spans="1:12" x14ac:dyDescent="0.35">
      <c r="A17" t="s">
        <v>231</v>
      </c>
      <c r="B17" s="7">
        <v>-192949</v>
      </c>
      <c r="C17" s="7">
        <v>23</v>
      </c>
      <c r="D17" s="7">
        <v>-2993</v>
      </c>
      <c r="E17" s="7">
        <v>-105</v>
      </c>
      <c r="F17" s="7"/>
      <c r="G17" s="7"/>
      <c r="H17" s="7"/>
      <c r="I17" s="7">
        <v>-5</v>
      </c>
      <c r="J17" s="7"/>
      <c r="K17" s="7"/>
      <c r="L17" s="7">
        <v>-196028</v>
      </c>
    </row>
    <row r="18" spans="1:12" x14ac:dyDescent="0.35">
      <c r="A18" t="s">
        <v>232</v>
      </c>
      <c r="B18" s="7">
        <v>-6330</v>
      </c>
      <c r="C18" s="7">
        <v>4826</v>
      </c>
      <c r="D18" s="7"/>
      <c r="E18" s="7">
        <v>-4346</v>
      </c>
      <c r="F18" s="7"/>
      <c r="G18" s="7"/>
      <c r="H18" s="7"/>
      <c r="I18" s="7"/>
      <c r="J18" s="7"/>
      <c r="K18" s="7"/>
      <c r="L18" s="7">
        <v>-5850</v>
      </c>
    </row>
    <row r="19" spans="1:12" x14ac:dyDescent="0.35">
      <c r="A19" t="s">
        <v>233</v>
      </c>
      <c r="B19" s="7">
        <v>-213</v>
      </c>
      <c r="C19" s="7">
        <v>32921</v>
      </c>
      <c r="D19" s="7">
        <v>-32243</v>
      </c>
      <c r="E19" s="7">
        <v>-4207</v>
      </c>
      <c r="F19" s="7"/>
      <c r="G19" s="7"/>
      <c r="H19" s="7"/>
      <c r="I19" s="7">
        <v>-59069</v>
      </c>
      <c r="J19" s="7"/>
      <c r="K19" s="7">
        <v>-221</v>
      </c>
      <c r="L19" s="7">
        <v>-63031</v>
      </c>
    </row>
    <row r="20" spans="1:12" x14ac:dyDescent="0.35">
      <c r="A20" t="s">
        <v>234</v>
      </c>
      <c r="B20" s="7">
        <v>-69526</v>
      </c>
      <c r="C20" s="7">
        <v>-10118</v>
      </c>
      <c r="D20" s="7">
        <v>-217012</v>
      </c>
      <c r="E20" s="7">
        <v>-220371</v>
      </c>
      <c r="F20" s="7"/>
      <c r="G20" s="7"/>
      <c r="H20" s="7"/>
      <c r="I20" s="7">
        <v>-8474</v>
      </c>
      <c r="J20" s="7">
        <v>-134462</v>
      </c>
      <c r="K20" s="7">
        <v>-34022</v>
      </c>
      <c r="L20" s="7">
        <v>-693984</v>
      </c>
    </row>
    <row r="21" spans="1:12" x14ac:dyDescent="0.35">
      <c r="A21" t="s">
        <v>235</v>
      </c>
      <c r="B21" s="7">
        <v>-3001</v>
      </c>
      <c r="C21" s="7">
        <v>-6023</v>
      </c>
      <c r="D21" s="7">
        <v>-635</v>
      </c>
      <c r="E21" s="7">
        <v>-23421</v>
      </c>
      <c r="F21" s="7"/>
      <c r="G21" s="7"/>
      <c r="H21" s="7">
        <v>-10</v>
      </c>
      <c r="I21" s="7">
        <v>-334</v>
      </c>
      <c r="J21" s="7">
        <v>-137340</v>
      </c>
      <c r="K21" s="7">
        <v>-24836</v>
      </c>
      <c r="L21" s="7">
        <v>-195598</v>
      </c>
    </row>
    <row r="22" spans="1:12" x14ac:dyDescent="0.35">
      <c r="A22" t="s">
        <v>131</v>
      </c>
      <c r="B22" s="7">
        <v>825410</v>
      </c>
      <c r="C22" s="7">
        <v>12525</v>
      </c>
      <c r="D22" s="7">
        <v>3432774</v>
      </c>
      <c r="E22" s="7">
        <v>1194586</v>
      </c>
      <c r="F22" s="7"/>
      <c r="G22" s="7"/>
      <c r="H22" s="7">
        <v>12019</v>
      </c>
      <c r="I22" s="7">
        <v>940969</v>
      </c>
      <c r="J22" s="7">
        <v>1301294</v>
      </c>
      <c r="K22" s="7">
        <v>260273</v>
      </c>
      <c r="L22" s="7">
        <v>7979851</v>
      </c>
    </row>
    <row r="23" spans="1:12" x14ac:dyDescent="0.35">
      <c r="A23" t="s">
        <v>80</v>
      </c>
      <c r="B23" s="7">
        <v>652641</v>
      </c>
      <c r="C23" s="7">
        <v>4558</v>
      </c>
      <c r="D23" s="7">
        <v>322617</v>
      </c>
      <c r="E23" s="7">
        <v>431368</v>
      </c>
      <c r="F23" s="7"/>
      <c r="G23" s="7"/>
      <c r="H23" s="7">
        <v>489</v>
      </c>
      <c r="I23" s="7">
        <v>171555</v>
      </c>
      <c r="J23" s="7">
        <v>539623</v>
      </c>
      <c r="K23" s="7">
        <v>114077</v>
      </c>
      <c r="L23" s="7">
        <v>2236928</v>
      </c>
    </row>
    <row r="24" spans="1:12" x14ac:dyDescent="0.35">
      <c r="A24" t="s">
        <v>82</v>
      </c>
      <c r="B24" s="7">
        <v>262</v>
      </c>
      <c r="C24" s="7">
        <v>19</v>
      </c>
      <c r="D24" s="7">
        <v>2102360</v>
      </c>
      <c r="E24" s="7">
        <v>73957</v>
      </c>
      <c r="F24" s="7"/>
      <c r="G24" s="7"/>
      <c r="H24" s="7"/>
      <c r="I24" s="7">
        <v>19327</v>
      </c>
      <c r="J24" s="7">
        <v>22347</v>
      </c>
      <c r="K24" s="7"/>
      <c r="L24" s="7">
        <v>2218273</v>
      </c>
    </row>
    <row r="25" spans="1:12" x14ac:dyDescent="0.35">
      <c r="A25" t="s">
        <v>86</v>
      </c>
      <c r="B25" s="7">
        <v>78495</v>
      </c>
      <c r="C25" s="7"/>
      <c r="D25" s="7">
        <v>230375</v>
      </c>
      <c r="E25" s="7">
        <v>397603</v>
      </c>
      <c r="F25" s="7"/>
      <c r="G25" s="7"/>
      <c r="H25" s="7">
        <v>8947</v>
      </c>
      <c r="I25" s="7">
        <v>718919</v>
      </c>
      <c r="J25" s="7">
        <v>362424</v>
      </c>
      <c r="K25" s="7">
        <v>100707</v>
      </c>
      <c r="L25" s="7">
        <v>1897469</v>
      </c>
    </row>
    <row r="26" spans="1:12" x14ac:dyDescent="0.35">
      <c r="A26" t="s">
        <v>88</v>
      </c>
      <c r="B26" s="7">
        <v>25300</v>
      </c>
      <c r="C26" s="7">
        <v>31</v>
      </c>
      <c r="D26" s="7">
        <v>98448</v>
      </c>
      <c r="E26" s="7">
        <v>157794</v>
      </c>
      <c r="F26" s="7"/>
      <c r="G26" s="7"/>
      <c r="H26" s="7">
        <v>1941</v>
      </c>
      <c r="I26" s="7">
        <v>20871</v>
      </c>
      <c r="J26" s="7">
        <v>306830</v>
      </c>
      <c r="K26" s="7">
        <v>31609</v>
      </c>
      <c r="L26" s="7">
        <v>642824</v>
      </c>
    </row>
    <row r="27" spans="1:12" x14ac:dyDescent="0.35">
      <c r="A27" t="s">
        <v>90</v>
      </c>
      <c r="B27" s="7">
        <v>12365</v>
      </c>
      <c r="C27" s="7">
        <v>7</v>
      </c>
      <c r="D27" s="7">
        <v>107188</v>
      </c>
      <c r="E27" s="7">
        <v>7830</v>
      </c>
      <c r="F27" s="7"/>
      <c r="G27" s="7"/>
      <c r="H27" s="7">
        <v>384</v>
      </c>
      <c r="I27" s="7">
        <v>7466</v>
      </c>
      <c r="J27" s="7">
        <v>35325</v>
      </c>
      <c r="K27" s="7">
        <v>3808</v>
      </c>
      <c r="L27" s="7">
        <v>174375</v>
      </c>
    </row>
    <row r="28" spans="1:12" x14ac:dyDescent="0.35">
      <c r="A28" t="s">
        <v>92</v>
      </c>
      <c r="B28" s="7">
        <v>12</v>
      </c>
      <c r="C28" s="7"/>
      <c r="D28" s="7">
        <v>7553</v>
      </c>
      <c r="E28" s="7">
        <v>26</v>
      </c>
      <c r="F28" s="7"/>
      <c r="G28" s="7"/>
      <c r="H28" s="7">
        <v>85</v>
      </c>
      <c r="I28" s="7">
        <v>1</v>
      </c>
      <c r="J28" s="7">
        <v>361</v>
      </c>
      <c r="K28" s="7">
        <v>16</v>
      </c>
      <c r="L28" s="7">
        <v>8054</v>
      </c>
    </row>
    <row r="29" spans="1:12" x14ac:dyDescent="0.35">
      <c r="A29" t="s">
        <v>94</v>
      </c>
      <c r="B29" s="7">
        <v>26515</v>
      </c>
      <c r="C29" s="7"/>
      <c r="D29" s="7">
        <v>19655</v>
      </c>
      <c r="E29" s="7">
        <v>5493</v>
      </c>
      <c r="F29" s="7"/>
      <c r="G29" s="7"/>
      <c r="H29" s="7">
        <v>174</v>
      </c>
      <c r="I29" s="7">
        <v>2830</v>
      </c>
      <c r="J29" s="7">
        <v>34384</v>
      </c>
      <c r="K29" s="7">
        <v>10055</v>
      </c>
      <c r="L29" s="7">
        <v>99106</v>
      </c>
    </row>
    <row r="30" spans="1:12" x14ac:dyDescent="0.35">
      <c r="A30" t="s">
        <v>236</v>
      </c>
      <c r="B30" s="7">
        <v>29820</v>
      </c>
      <c r="C30" s="7">
        <v>7909</v>
      </c>
      <c r="D30" s="7">
        <v>544577</v>
      </c>
      <c r="E30" s="7">
        <v>120516</v>
      </c>
      <c r="F30" s="7"/>
      <c r="G30" s="7"/>
      <c r="H30" s="7"/>
      <c r="I30" s="7"/>
      <c r="J30" s="7"/>
      <c r="K30" s="7"/>
      <c r="L30" s="7">
        <v>702822</v>
      </c>
    </row>
    <row r="32" spans="1:12" x14ac:dyDescent="0.35">
      <c r="B32" s="7">
        <f>SUM(B9,B10:B21,B22*-1)</f>
        <v>-1</v>
      </c>
      <c r="C32" s="7">
        <f t="shared" ref="C32:L32" si="0">SUM(C9,C10:C21,C22*-1)</f>
        <v>-3</v>
      </c>
      <c r="D32" s="7">
        <f t="shared" si="0"/>
        <v>-1</v>
      </c>
      <c r="E32" s="7">
        <f t="shared" si="0"/>
        <v>1</v>
      </c>
      <c r="F32" s="7">
        <f t="shared" si="0"/>
        <v>1</v>
      </c>
      <c r="G32" s="7">
        <f t="shared" si="0"/>
        <v>0</v>
      </c>
      <c r="H32" s="7">
        <f t="shared" si="0"/>
        <v>0</v>
      </c>
      <c r="I32" s="7">
        <f t="shared" si="0"/>
        <v>1</v>
      </c>
      <c r="J32" s="7">
        <f t="shared" si="0"/>
        <v>0</v>
      </c>
      <c r="K32" s="7">
        <f t="shared" si="0"/>
        <v>-1</v>
      </c>
      <c r="L32" s="7">
        <f t="shared" si="0"/>
        <v>0</v>
      </c>
    </row>
  </sheetData>
  <pageMargins left="0.7" right="0.7" top="0.75" bottom="0.75" header="0.3" footer="0.3"/>
  <pageSetup paperSize="9" orientation="portrait" horizontalDpi="4294967293" verticalDpi="4294967293" r:id="rId1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sheetPr codeName="Ark83"/>
  <dimension ref="A1:L32"/>
  <sheetViews>
    <sheetView workbookViewId="0">
      <selection activeCell="F37" sqref="F37"/>
    </sheetView>
  </sheetViews>
  <sheetFormatPr defaultRowHeight="14.5" x14ac:dyDescent="0.35"/>
  <cols>
    <col min="1" max="1" width="30" customWidth="1"/>
    <col min="2" max="2" width="11.54296875" customWidth="1"/>
    <col min="3" max="3" width="12" customWidth="1"/>
    <col min="4" max="4" width="14.54296875" customWidth="1"/>
    <col min="5" max="5" width="14.1796875" customWidth="1"/>
    <col min="8" max="8" width="22.81640625" customWidth="1"/>
    <col min="9" max="9" width="21.81640625" customWidth="1"/>
    <col min="10" max="10" width="13.81640625" customWidth="1"/>
    <col min="11" max="11" width="12.26953125" customWidth="1"/>
    <col min="12" max="12" width="11.81640625" customWidth="1"/>
  </cols>
  <sheetData>
    <row r="1" spans="1:12" x14ac:dyDescent="0.35">
      <c r="A1" s="91"/>
      <c r="B1" t="s">
        <v>214</v>
      </c>
      <c r="C1" t="s">
        <v>2</v>
      </c>
      <c r="D1" t="s">
        <v>215</v>
      </c>
      <c r="E1" t="s">
        <v>216</v>
      </c>
      <c r="F1" t="s">
        <v>5</v>
      </c>
      <c r="G1" t="s">
        <v>6</v>
      </c>
      <c r="H1" t="s">
        <v>217</v>
      </c>
      <c r="I1" t="s">
        <v>8</v>
      </c>
      <c r="J1" t="s">
        <v>9</v>
      </c>
      <c r="K1" t="s">
        <v>10</v>
      </c>
      <c r="L1" t="s">
        <v>218</v>
      </c>
    </row>
    <row r="2" spans="1:12" x14ac:dyDescent="0.35">
      <c r="B2" t="s">
        <v>219</v>
      </c>
      <c r="C2" t="s">
        <v>219</v>
      </c>
      <c r="D2" t="s">
        <v>219</v>
      </c>
      <c r="E2" t="s">
        <v>219</v>
      </c>
      <c r="F2" t="s">
        <v>219</v>
      </c>
      <c r="G2" t="s">
        <v>219</v>
      </c>
      <c r="H2" t="s">
        <v>219</v>
      </c>
      <c r="I2" t="s">
        <v>219</v>
      </c>
      <c r="J2" t="s">
        <v>219</v>
      </c>
      <c r="K2" t="s">
        <v>219</v>
      </c>
      <c r="L2" t="s">
        <v>219</v>
      </c>
    </row>
    <row r="3" spans="1:12" x14ac:dyDescent="0.35">
      <c r="A3" t="s">
        <v>17</v>
      </c>
      <c r="B3" s="7">
        <v>607185</v>
      </c>
      <c r="C3" s="7">
        <v>663358</v>
      </c>
      <c r="D3" s="7"/>
      <c r="E3" s="7">
        <v>616234</v>
      </c>
      <c r="F3" s="7">
        <v>238039</v>
      </c>
      <c r="G3" s="7">
        <v>59205</v>
      </c>
      <c r="H3" s="7">
        <v>18086</v>
      </c>
      <c r="I3" s="7">
        <v>103823</v>
      </c>
      <c r="J3" s="7"/>
      <c r="K3" s="7"/>
      <c r="L3" s="7">
        <v>2305931</v>
      </c>
    </row>
    <row r="4" spans="1:12" x14ac:dyDescent="0.35">
      <c r="A4" t="s">
        <v>220</v>
      </c>
      <c r="B4" s="7">
        <v>39931</v>
      </c>
      <c r="C4" s="7">
        <v>659478</v>
      </c>
      <c r="D4" s="7">
        <v>156222</v>
      </c>
      <c r="E4" s="7">
        <v>121667</v>
      </c>
      <c r="F4" s="7"/>
      <c r="G4" s="7"/>
      <c r="H4" s="7"/>
      <c r="I4" s="7">
        <v>439</v>
      </c>
      <c r="J4" s="7">
        <v>5709</v>
      </c>
      <c r="K4" s="7"/>
      <c r="L4" s="7">
        <v>983446</v>
      </c>
    </row>
    <row r="5" spans="1:12" x14ac:dyDescent="0.35">
      <c r="A5" t="s">
        <v>221</v>
      </c>
      <c r="B5" s="7">
        <v>-46449</v>
      </c>
      <c r="C5" s="7">
        <v>-197555</v>
      </c>
      <c r="D5" s="7">
        <v>-81789</v>
      </c>
      <c r="E5" s="7">
        <v>-104307</v>
      </c>
      <c r="F5" s="7"/>
      <c r="G5" s="7"/>
      <c r="H5" s="7"/>
      <c r="I5" s="7">
        <v>-264</v>
      </c>
      <c r="J5" s="7">
        <v>-5562</v>
      </c>
      <c r="K5" s="7"/>
      <c r="L5" s="7">
        <v>-435925</v>
      </c>
    </row>
    <row r="6" spans="1:12" x14ac:dyDescent="0.35">
      <c r="A6" t="s">
        <v>222</v>
      </c>
      <c r="B6" s="7"/>
      <c r="C6" s="7"/>
      <c r="D6" s="7">
        <v>-28579</v>
      </c>
      <c r="E6" s="7"/>
      <c r="F6" s="7"/>
      <c r="G6" s="7"/>
      <c r="H6" s="7"/>
      <c r="I6" s="7"/>
      <c r="J6" s="7"/>
      <c r="K6" s="7"/>
      <c r="L6" s="7">
        <v>-28579</v>
      </c>
    </row>
    <row r="7" spans="1:12" x14ac:dyDescent="0.35">
      <c r="A7" t="s">
        <v>223</v>
      </c>
      <c r="B7" s="7"/>
      <c r="C7" s="7"/>
      <c r="D7" s="7">
        <v>-27084</v>
      </c>
      <c r="E7" s="7"/>
      <c r="F7" s="7"/>
      <c r="G7" s="7"/>
      <c r="H7" s="7"/>
      <c r="I7" s="7"/>
      <c r="J7" s="7"/>
      <c r="K7" s="7"/>
      <c r="L7" s="7">
        <v>-27084</v>
      </c>
    </row>
    <row r="8" spans="1:12" x14ac:dyDescent="0.35">
      <c r="A8" t="s">
        <v>224</v>
      </c>
      <c r="B8" s="7">
        <v>2625</v>
      </c>
      <c r="C8" s="7">
        <v>-7969</v>
      </c>
      <c r="D8" s="7">
        <v>1704</v>
      </c>
      <c r="E8" s="7">
        <v>7685</v>
      </c>
      <c r="F8" s="7"/>
      <c r="G8" s="7"/>
      <c r="H8" s="7"/>
      <c r="I8" s="7">
        <v>36</v>
      </c>
      <c r="J8" s="7"/>
      <c r="K8" s="7"/>
      <c r="L8" s="7">
        <v>4082</v>
      </c>
    </row>
    <row r="9" spans="1:12" x14ac:dyDescent="0.35">
      <c r="A9" t="s">
        <v>225</v>
      </c>
      <c r="B9" s="7">
        <v>603292</v>
      </c>
      <c r="C9" s="7">
        <v>1117312</v>
      </c>
      <c r="D9" s="7">
        <v>20475</v>
      </c>
      <c r="E9" s="7">
        <v>641279</v>
      </c>
      <c r="F9" s="7">
        <v>238039</v>
      </c>
      <c r="G9" s="7">
        <v>59205</v>
      </c>
      <c r="H9" s="7">
        <v>18086</v>
      </c>
      <c r="I9" s="7">
        <v>104035</v>
      </c>
      <c r="J9" s="7">
        <v>147</v>
      </c>
      <c r="K9" s="7"/>
      <c r="L9" s="7">
        <v>2801871</v>
      </c>
    </row>
    <row r="10" spans="1:12" x14ac:dyDescent="0.35">
      <c r="A10" t="s">
        <v>226</v>
      </c>
      <c r="B10" s="7"/>
      <c r="C10" s="7">
        <v>-62165</v>
      </c>
      <c r="D10" s="7">
        <v>66417</v>
      </c>
      <c r="E10" s="7"/>
      <c r="F10" s="7"/>
      <c r="G10" s="7"/>
      <c r="H10" s="7"/>
      <c r="I10" s="7"/>
      <c r="J10" s="7"/>
      <c r="K10" s="7"/>
      <c r="L10" s="7">
        <v>4252</v>
      </c>
    </row>
    <row r="11" spans="1:12" x14ac:dyDescent="0.35">
      <c r="A11" t="s">
        <v>227</v>
      </c>
      <c r="B11" s="7">
        <v>-18041</v>
      </c>
      <c r="C11" s="7">
        <v>-12466</v>
      </c>
      <c r="D11" s="7">
        <v>-1691</v>
      </c>
      <c r="E11" s="7">
        <v>5438</v>
      </c>
      <c r="F11" s="7"/>
      <c r="G11" s="7"/>
      <c r="H11" s="7"/>
      <c r="I11" s="7">
        <v>-1</v>
      </c>
      <c r="J11" s="7">
        <v>-2784</v>
      </c>
      <c r="K11" s="7">
        <v>350</v>
      </c>
      <c r="L11" s="7">
        <v>-29194</v>
      </c>
    </row>
    <row r="12" spans="1:12" x14ac:dyDescent="0.35">
      <c r="A12" t="s">
        <v>228</v>
      </c>
      <c r="B12" s="7">
        <v>-520585</v>
      </c>
      <c r="C12" s="7"/>
      <c r="D12" s="7">
        <v>-48134</v>
      </c>
      <c r="E12" s="7">
        <v>-134574</v>
      </c>
      <c r="F12" s="7">
        <v>-238039</v>
      </c>
      <c r="G12" s="7">
        <v>-59205</v>
      </c>
      <c r="H12" s="7">
        <v>-15916</v>
      </c>
      <c r="I12" s="7">
        <v>-14391</v>
      </c>
      <c r="J12" s="7">
        <v>416465</v>
      </c>
      <c r="K12" s="7"/>
      <c r="L12" s="7">
        <v>-614380</v>
      </c>
    </row>
    <row r="13" spans="1:12" x14ac:dyDescent="0.35">
      <c r="A13" t="s">
        <v>66</v>
      </c>
      <c r="B13" s="7">
        <v>-15932</v>
      </c>
      <c r="C13" s="7"/>
      <c r="D13" s="7">
        <v>-5923</v>
      </c>
      <c r="E13" s="7">
        <v>-51187</v>
      </c>
      <c r="F13" s="7"/>
      <c r="G13" s="7"/>
      <c r="H13" s="7"/>
      <c r="I13" s="7">
        <v>-10890</v>
      </c>
      <c r="J13" s="7">
        <v>30036</v>
      </c>
      <c r="K13" s="7">
        <v>6492</v>
      </c>
      <c r="L13" s="7">
        <v>-47404</v>
      </c>
    </row>
    <row r="14" spans="1:12" x14ac:dyDescent="0.35">
      <c r="A14" t="s">
        <v>229</v>
      </c>
      <c r="B14" s="7"/>
      <c r="C14" s="7"/>
      <c r="D14" s="7"/>
      <c r="E14" s="7"/>
      <c r="F14" s="7"/>
      <c r="G14" s="7"/>
      <c r="H14" s="7"/>
      <c r="I14" s="7">
        <v>-71</v>
      </c>
      <c r="J14" s="7"/>
      <c r="K14" s="7">
        <v>39</v>
      </c>
      <c r="L14" s="7">
        <v>-33</v>
      </c>
    </row>
    <row r="15" spans="1:12" x14ac:dyDescent="0.35">
      <c r="A15" t="s">
        <v>230</v>
      </c>
      <c r="B15" s="7">
        <v>-1790</v>
      </c>
      <c r="C15" s="7"/>
      <c r="D15" s="7">
        <v>-1100</v>
      </c>
      <c r="E15" s="7">
        <v>1966</v>
      </c>
      <c r="F15" s="7"/>
      <c r="G15" s="7"/>
      <c r="H15" s="7"/>
      <c r="I15" s="7"/>
      <c r="J15" s="7"/>
      <c r="K15" s="7"/>
      <c r="L15" s="7">
        <v>-925</v>
      </c>
    </row>
    <row r="16" spans="1:12" x14ac:dyDescent="0.35">
      <c r="A16" t="s">
        <v>70</v>
      </c>
      <c r="B16" s="7"/>
      <c r="C16" s="7">
        <v>-1044558</v>
      </c>
      <c r="D16" s="7">
        <v>1047079</v>
      </c>
      <c r="E16" s="7"/>
      <c r="F16" s="7"/>
      <c r="G16" s="7"/>
      <c r="H16" s="7"/>
      <c r="I16" s="7"/>
      <c r="J16" s="7"/>
      <c r="K16" s="7"/>
      <c r="L16" s="7">
        <v>2521</v>
      </c>
    </row>
    <row r="17" spans="1:12" x14ac:dyDescent="0.35">
      <c r="A17" t="s">
        <v>231</v>
      </c>
      <c r="B17" s="7">
        <v>-5871</v>
      </c>
      <c r="C17" s="7"/>
      <c r="D17" s="7">
        <v>-6</v>
      </c>
      <c r="E17" s="7"/>
      <c r="F17" s="7"/>
      <c r="G17" s="7"/>
      <c r="H17" s="7"/>
      <c r="I17" s="7"/>
      <c r="J17" s="7"/>
      <c r="K17" s="7"/>
      <c r="L17" s="7">
        <v>-5877</v>
      </c>
    </row>
    <row r="18" spans="1:12" x14ac:dyDescent="0.35">
      <c r="A18" t="s">
        <v>232</v>
      </c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</row>
    <row r="19" spans="1:12" x14ac:dyDescent="0.35">
      <c r="A19" t="s">
        <v>233</v>
      </c>
      <c r="B19" s="7"/>
      <c r="C19" s="7">
        <v>1876</v>
      </c>
      <c r="D19" s="7">
        <v>-27</v>
      </c>
      <c r="E19" s="7">
        <v>-1736</v>
      </c>
      <c r="F19" s="7"/>
      <c r="G19" s="7"/>
      <c r="H19" s="7"/>
      <c r="I19" s="7">
        <v>-277</v>
      </c>
      <c r="J19" s="7"/>
      <c r="K19" s="7"/>
      <c r="L19" s="7">
        <v>-164</v>
      </c>
    </row>
    <row r="20" spans="1:12" x14ac:dyDescent="0.35">
      <c r="A20" t="s">
        <v>234</v>
      </c>
      <c r="B20" s="7">
        <v>-2568</v>
      </c>
      <c r="C20" s="7"/>
      <c r="D20" s="7">
        <v>-69340</v>
      </c>
      <c r="E20" s="7">
        <v>-85270</v>
      </c>
      <c r="F20" s="7"/>
      <c r="G20" s="7"/>
      <c r="H20" s="7"/>
      <c r="I20" s="7"/>
      <c r="J20" s="7">
        <v>-31908</v>
      </c>
      <c r="K20" s="7">
        <v>-1990</v>
      </c>
      <c r="L20" s="7">
        <v>-191076</v>
      </c>
    </row>
    <row r="21" spans="1:12" x14ac:dyDescent="0.35">
      <c r="A21" t="s">
        <v>235</v>
      </c>
      <c r="B21" s="7">
        <v>-21</v>
      </c>
      <c r="C21" s="7"/>
      <c r="D21" s="7"/>
      <c r="E21" s="7">
        <v>-5058</v>
      </c>
      <c r="F21" s="7"/>
      <c r="G21" s="7"/>
      <c r="H21" s="7"/>
      <c r="I21" s="7"/>
      <c r="J21" s="7">
        <v>-28655</v>
      </c>
      <c r="K21" s="7">
        <v>-716</v>
      </c>
      <c r="L21" s="7">
        <v>-34450</v>
      </c>
    </row>
    <row r="22" spans="1:12" x14ac:dyDescent="0.35">
      <c r="A22" t="s">
        <v>131</v>
      </c>
      <c r="B22" s="7">
        <v>38484</v>
      </c>
      <c r="C22" s="7"/>
      <c r="D22" s="7">
        <v>1007750</v>
      </c>
      <c r="E22" s="7">
        <v>370857</v>
      </c>
      <c r="F22" s="7"/>
      <c r="G22" s="7"/>
      <c r="H22" s="7">
        <v>2170</v>
      </c>
      <c r="I22" s="7">
        <v>78404</v>
      </c>
      <c r="J22" s="7">
        <v>383302</v>
      </c>
      <c r="K22" s="7">
        <v>4175</v>
      </c>
      <c r="L22" s="7">
        <v>1885142</v>
      </c>
    </row>
    <row r="23" spans="1:12" x14ac:dyDescent="0.35">
      <c r="A23" t="s">
        <v>80</v>
      </c>
      <c r="B23" s="7">
        <v>35420</v>
      </c>
      <c r="C23" s="7"/>
      <c r="D23" s="7">
        <v>50514</v>
      </c>
      <c r="E23" s="7">
        <v>125292</v>
      </c>
      <c r="F23" s="7"/>
      <c r="G23" s="7"/>
      <c r="H23" s="7">
        <v>112</v>
      </c>
      <c r="I23" s="7">
        <v>43706</v>
      </c>
      <c r="J23" s="7">
        <v>107137</v>
      </c>
      <c r="K23" s="7">
        <v>3428</v>
      </c>
      <c r="L23" s="7">
        <v>365610</v>
      </c>
    </row>
    <row r="24" spans="1:12" x14ac:dyDescent="0.35">
      <c r="A24" t="s">
        <v>82</v>
      </c>
      <c r="B24" s="7"/>
      <c r="C24" s="7"/>
      <c r="D24" s="7">
        <v>704255</v>
      </c>
      <c r="E24" s="7">
        <v>18510</v>
      </c>
      <c r="F24" s="7"/>
      <c r="G24" s="7"/>
      <c r="H24" s="7"/>
      <c r="I24" s="7">
        <v>8251</v>
      </c>
      <c r="J24" s="7">
        <v>1016</v>
      </c>
      <c r="K24" s="7"/>
      <c r="L24" s="7">
        <v>732032</v>
      </c>
    </row>
    <row r="25" spans="1:12" x14ac:dyDescent="0.35">
      <c r="A25" t="s">
        <v>86</v>
      </c>
      <c r="B25" s="7">
        <v>55</v>
      </c>
      <c r="C25" s="7"/>
      <c r="D25" s="7">
        <v>39674</v>
      </c>
      <c r="E25" s="7">
        <v>127624</v>
      </c>
      <c r="F25" s="7"/>
      <c r="G25" s="7"/>
      <c r="H25" s="7">
        <v>1682</v>
      </c>
      <c r="I25" s="7">
        <v>24202</v>
      </c>
      <c r="J25" s="7">
        <v>134224</v>
      </c>
      <c r="K25" s="7"/>
      <c r="L25" s="7">
        <v>327462</v>
      </c>
    </row>
    <row r="26" spans="1:12" x14ac:dyDescent="0.35">
      <c r="A26" t="s">
        <v>88</v>
      </c>
      <c r="B26" s="7">
        <v>2117</v>
      </c>
      <c r="C26" s="7"/>
      <c r="D26" s="7">
        <v>20703</v>
      </c>
      <c r="E26" s="7">
        <v>79977</v>
      </c>
      <c r="F26" s="7"/>
      <c r="G26" s="7"/>
      <c r="H26" s="7">
        <v>375</v>
      </c>
      <c r="I26" s="7">
        <v>2055</v>
      </c>
      <c r="J26" s="7">
        <v>121964</v>
      </c>
      <c r="K26" s="7">
        <v>746</v>
      </c>
      <c r="L26" s="7">
        <v>227937</v>
      </c>
    </row>
    <row r="27" spans="1:12" x14ac:dyDescent="0.35">
      <c r="A27" t="s">
        <v>90</v>
      </c>
      <c r="B27" s="7">
        <v>430</v>
      </c>
      <c r="C27" s="7"/>
      <c r="D27" s="7">
        <v>22479</v>
      </c>
      <c r="E27" s="7">
        <v>2264</v>
      </c>
      <c r="F27" s="7"/>
      <c r="G27" s="7"/>
      <c r="H27" s="7"/>
      <c r="I27" s="7">
        <v>189</v>
      </c>
      <c r="J27" s="7">
        <v>5104</v>
      </c>
      <c r="K27" s="7">
        <v>1</v>
      </c>
      <c r="L27" s="7">
        <v>30467</v>
      </c>
    </row>
    <row r="28" spans="1:12" x14ac:dyDescent="0.35">
      <c r="A28" t="s">
        <v>92</v>
      </c>
      <c r="B28" s="7">
        <v>12</v>
      </c>
      <c r="C28" s="7"/>
      <c r="D28" s="7">
        <v>98</v>
      </c>
      <c r="E28" s="7">
        <v>15</v>
      </c>
      <c r="F28" s="7"/>
      <c r="G28" s="7"/>
      <c r="H28" s="7"/>
      <c r="I28" s="7"/>
      <c r="J28" s="7">
        <v>11</v>
      </c>
      <c r="K28" s="7"/>
      <c r="L28" s="7">
        <v>135</v>
      </c>
    </row>
    <row r="29" spans="1:12" x14ac:dyDescent="0.35">
      <c r="A29" t="s">
        <v>94</v>
      </c>
      <c r="B29" s="7"/>
      <c r="C29" s="7"/>
      <c r="D29" s="7"/>
      <c r="E29" s="7"/>
      <c r="F29" s="7"/>
      <c r="G29" s="7"/>
      <c r="H29" s="7"/>
      <c r="I29" s="7"/>
      <c r="J29" s="7">
        <v>13845</v>
      </c>
      <c r="K29" s="7"/>
      <c r="L29" s="7">
        <v>13846</v>
      </c>
    </row>
    <row r="30" spans="1:12" x14ac:dyDescent="0.35">
      <c r="A30" t="s">
        <v>236</v>
      </c>
      <c r="B30" s="7">
        <v>451</v>
      </c>
      <c r="C30" s="7"/>
      <c r="D30" s="7">
        <v>170027</v>
      </c>
      <c r="E30" s="7">
        <v>17175</v>
      </c>
      <c r="F30" s="7"/>
      <c r="G30" s="7"/>
      <c r="H30" s="7"/>
      <c r="I30" s="7"/>
      <c r="J30" s="7"/>
      <c r="K30" s="7"/>
      <c r="L30" s="7">
        <v>187652</v>
      </c>
    </row>
    <row r="32" spans="1:12" x14ac:dyDescent="0.35">
      <c r="B32" s="7">
        <f>SUM(B9,B10:B21,B22*-1)</f>
        <v>0</v>
      </c>
      <c r="C32" s="7">
        <f t="shared" ref="C32:L32" si="0">SUM(C9,C10:C21,C22*-1)</f>
        <v>-1</v>
      </c>
      <c r="D32" s="7">
        <f t="shared" si="0"/>
        <v>0</v>
      </c>
      <c r="E32" s="7">
        <f t="shared" si="0"/>
        <v>1</v>
      </c>
      <c r="F32" s="7">
        <f t="shared" si="0"/>
        <v>0</v>
      </c>
      <c r="G32" s="7">
        <f t="shared" si="0"/>
        <v>0</v>
      </c>
      <c r="H32" s="7">
        <f t="shared" si="0"/>
        <v>0</v>
      </c>
      <c r="I32" s="7">
        <f t="shared" si="0"/>
        <v>1</v>
      </c>
      <c r="J32" s="7">
        <f t="shared" si="0"/>
        <v>-1</v>
      </c>
      <c r="K32" s="7">
        <f t="shared" si="0"/>
        <v>0</v>
      </c>
      <c r="L32" s="7">
        <f t="shared" si="0"/>
        <v>-1</v>
      </c>
    </row>
  </sheetData>
  <pageMargins left="0.7" right="0.7" top="0.75" bottom="0.75" header="0.3" footer="0.3"/>
  <pageSetup paperSize="9" orientation="portrait" horizontalDpi="4294967293" verticalDpi="4294967293" r:id="rId1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sheetPr codeName="Ark84"/>
  <dimension ref="A1:L32"/>
  <sheetViews>
    <sheetView workbookViewId="0">
      <selection activeCell="J38" sqref="J38"/>
    </sheetView>
  </sheetViews>
  <sheetFormatPr defaultRowHeight="14.5" x14ac:dyDescent="0.35"/>
  <cols>
    <col min="1" max="1" width="30" customWidth="1"/>
    <col min="2" max="2" width="11.54296875" customWidth="1"/>
    <col min="3" max="3" width="12" customWidth="1"/>
    <col min="4" max="4" width="14.54296875" customWidth="1"/>
    <col min="5" max="5" width="14.1796875" customWidth="1"/>
    <col min="8" max="8" width="22.81640625" customWidth="1"/>
    <col min="9" max="9" width="21.81640625" customWidth="1"/>
    <col min="10" max="10" width="13.81640625" customWidth="1"/>
    <col min="11" max="11" width="12.26953125" customWidth="1"/>
    <col min="12" max="12" width="11.81640625" customWidth="1"/>
  </cols>
  <sheetData>
    <row r="1" spans="1:12" x14ac:dyDescent="0.35">
      <c r="A1" s="91"/>
      <c r="B1" t="s">
        <v>214</v>
      </c>
      <c r="C1" t="s">
        <v>2</v>
      </c>
      <c r="D1" t="s">
        <v>215</v>
      </c>
      <c r="E1" t="s">
        <v>216</v>
      </c>
      <c r="F1" t="s">
        <v>5</v>
      </c>
      <c r="G1" t="s">
        <v>6</v>
      </c>
      <c r="H1" t="s">
        <v>217</v>
      </c>
      <c r="I1" t="s">
        <v>8</v>
      </c>
      <c r="J1" t="s">
        <v>9</v>
      </c>
      <c r="K1" t="s">
        <v>10</v>
      </c>
      <c r="L1" t="s">
        <v>218</v>
      </c>
    </row>
    <row r="2" spans="1:12" x14ac:dyDescent="0.35">
      <c r="B2" t="s">
        <v>219</v>
      </c>
      <c r="C2" t="s">
        <v>219</v>
      </c>
      <c r="D2" t="s">
        <v>219</v>
      </c>
      <c r="E2" t="s">
        <v>219</v>
      </c>
      <c r="F2" t="s">
        <v>219</v>
      </c>
      <c r="G2" t="s">
        <v>219</v>
      </c>
      <c r="H2" t="s">
        <v>219</v>
      </c>
      <c r="I2" t="s">
        <v>219</v>
      </c>
      <c r="J2" t="s">
        <v>219</v>
      </c>
      <c r="K2" t="s">
        <v>219</v>
      </c>
      <c r="L2" t="s">
        <v>219</v>
      </c>
    </row>
    <row r="3" spans="1:12" x14ac:dyDescent="0.35">
      <c r="A3" t="s">
        <v>17</v>
      </c>
      <c r="B3" s="7">
        <v>574045</v>
      </c>
      <c r="C3" s="7">
        <v>670630</v>
      </c>
      <c r="D3" s="7"/>
      <c r="E3" s="7">
        <v>668342</v>
      </c>
      <c r="F3" s="7">
        <v>243745</v>
      </c>
      <c r="G3" s="7">
        <v>57822</v>
      </c>
      <c r="H3" s="7">
        <v>23666</v>
      </c>
      <c r="I3" s="7">
        <v>116371</v>
      </c>
      <c r="J3" s="7"/>
      <c r="K3" s="7"/>
      <c r="L3" s="7">
        <v>2354620</v>
      </c>
    </row>
    <row r="4" spans="1:12" x14ac:dyDescent="0.35">
      <c r="A4" t="s">
        <v>220</v>
      </c>
      <c r="B4" s="7">
        <v>28599</v>
      </c>
      <c r="C4" s="7">
        <v>591111</v>
      </c>
      <c r="D4" s="7">
        <v>133419</v>
      </c>
      <c r="E4" s="7">
        <v>121297</v>
      </c>
      <c r="F4" s="7"/>
      <c r="G4" s="7"/>
      <c r="H4" s="7"/>
      <c r="I4" s="7">
        <v>662</v>
      </c>
      <c r="J4" s="7">
        <v>5611</v>
      </c>
      <c r="K4" s="7"/>
      <c r="L4" s="7">
        <v>880699</v>
      </c>
    </row>
    <row r="5" spans="1:12" x14ac:dyDescent="0.35">
      <c r="A5" t="s">
        <v>221</v>
      </c>
      <c r="B5" s="7">
        <v>-68467</v>
      </c>
      <c r="C5" s="7">
        <v>-190900</v>
      </c>
      <c r="D5" s="7">
        <v>-136380</v>
      </c>
      <c r="E5" s="7">
        <v>-106091</v>
      </c>
      <c r="F5" s="7"/>
      <c r="G5" s="7"/>
      <c r="H5" s="7"/>
      <c r="I5" s="7">
        <v>-1308</v>
      </c>
      <c r="J5" s="7">
        <v>-5564</v>
      </c>
      <c r="K5" s="7"/>
      <c r="L5" s="7">
        <v>-508709</v>
      </c>
    </row>
    <row r="6" spans="1:12" x14ac:dyDescent="0.35">
      <c r="A6" t="s">
        <v>222</v>
      </c>
      <c r="B6" s="7"/>
      <c r="C6" s="7"/>
      <c r="D6" s="7">
        <v>-27904</v>
      </c>
      <c r="E6" s="7"/>
      <c r="F6" s="7"/>
      <c r="G6" s="7"/>
      <c r="H6" s="7"/>
      <c r="I6" s="7"/>
      <c r="J6" s="7"/>
      <c r="K6" s="7"/>
      <c r="L6" s="7">
        <v>-27904</v>
      </c>
    </row>
    <row r="7" spans="1:12" x14ac:dyDescent="0.35">
      <c r="A7" t="s">
        <v>223</v>
      </c>
      <c r="B7" s="7"/>
      <c r="C7" s="7"/>
      <c r="D7" s="7">
        <v>-26196</v>
      </c>
      <c r="E7" s="7"/>
      <c r="F7" s="7"/>
      <c r="G7" s="7"/>
      <c r="H7" s="7"/>
      <c r="I7" s="7"/>
      <c r="J7" s="7"/>
      <c r="K7" s="7"/>
      <c r="L7" s="7">
        <v>-26196</v>
      </c>
    </row>
    <row r="8" spans="1:12" x14ac:dyDescent="0.35">
      <c r="A8" t="s">
        <v>224</v>
      </c>
      <c r="B8" s="7">
        <v>9251</v>
      </c>
      <c r="C8" s="7">
        <v>-3089</v>
      </c>
      <c r="D8" s="7">
        <v>1550</v>
      </c>
      <c r="E8" s="7">
        <v>6932</v>
      </c>
      <c r="F8" s="7"/>
      <c r="G8" s="7"/>
      <c r="H8" s="7"/>
      <c r="I8" s="7">
        <v>-97</v>
      </c>
      <c r="J8" s="7"/>
      <c r="K8" s="7"/>
      <c r="L8" s="7">
        <v>14546</v>
      </c>
    </row>
    <row r="9" spans="1:12" x14ac:dyDescent="0.35">
      <c r="A9" t="s">
        <v>225</v>
      </c>
      <c r="B9" s="7">
        <v>543427</v>
      </c>
      <c r="C9" s="7">
        <v>1067752</v>
      </c>
      <c r="D9" s="7">
        <v>-55510</v>
      </c>
      <c r="E9" s="7">
        <v>690480</v>
      </c>
      <c r="F9" s="7">
        <v>243745</v>
      </c>
      <c r="G9" s="7">
        <v>57822</v>
      </c>
      <c r="H9" s="7">
        <v>23666</v>
      </c>
      <c r="I9" s="7">
        <v>115628</v>
      </c>
      <c r="J9" s="7">
        <v>47</v>
      </c>
      <c r="K9" s="7"/>
      <c r="L9" s="7">
        <v>2687056</v>
      </c>
    </row>
    <row r="10" spans="1:12" x14ac:dyDescent="0.35">
      <c r="A10" t="s">
        <v>226</v>
      </c>
      <c r="B10" s="7"/>
      <c r="C10" s="7">
        <v>-58433</v>
      </c>
      <c r="D10" s="7">
        <v>63870</v>
      </c>
      <c r="E10" s="7"/>
      <c r="F10" s="7"/>
      <c r="G10" s="7"/>
      <c r="H10" s="7"/>
      <c r="I10" s="7"/>
      <c r="J10" s="7"/>
      <c r="K10" s="7"/>
      <c r="L10" s="7">
        <v>5437</v>
      </c>
    </row>
    <row r="11" spans="1:12" x14ac:dyDescent="0.35">
      <c r="A11" t="s">
        <v>227</v>
      </c>
      <c r="B11" s="7">
        <v>-1835</v>
      </c>
      <c r="C11" s="7">
        <v>-9171</v>
      </c>
      <c r="D11" s="7">
        <v>6481</v>
      </c>
      <c r="E11" s="7">
        <v>10066</v>
      </c>
      <c r="F11" s="7"/>
      <c r="G11" s="7"/>
      <c r="H11" s="7"/>
      <c r="I11" s="7">
        <v>-1630</v>
      </c>
      <c r="J11" s="7">
        <v>-1615</v>
      </c>
      <c r="K11" s="7">
        <v>-140</v>
      </c>
      <c r="L11" s="7">
        <v>2156</v>
      </c>
    </row>
    <row r="12" spans="1:12" x14ac:dyDescent="0.35">
      <c r="A12" t="s">
        <v>228</v>
      </c>
      <c r="B12" s="7">
        <v>-480634</v>
      </c>
      <c r="C12" s="7"/>
      <c r="D12" s="7">
        <v>-22318</v>
      </c>
      <c r="E12" s="7">
        <v>-181889</v>
      </c>
      <c r="F12" s="7">
        <v>-243745</v>
      </c>
      <c r="G12" s="7">
        <v>-57822</v>
      </c>
      <c r="H12" s="7">
        <v>-21355</v>
      </c>
      <c r="I12" s="7">
        <v>-15536</v>
      </c>
      <c r="J12" s="7">
        <v>425315</v>
      </c>
      <c r="K12" s="7"/>
      <c r="L12" s="7">
        <v>-597983</v>
      </c>
    </row>
    <row r="13" spans="1:12" x14ac:dyDescent="0.35">
      <c r="A13" t="s">
        <v>66</v>
      </c>
      <c r="B13" s="7">
        <v>-13429</v>
      </c>
      <c r="C13" s="7"/>
      <c r="D13" s="7">
        <v>-2964</v>
      </c>
      <c r="E13" s="7">
        <v>-45815</v>
      </c>
      <c r="F13" s="7"/>
      <c r="G13" s="7"/>
      <c r="H13" s="7"/>
      <c r="I13" s="7">
        <v>-7688</v>
      </c>
      <c r="J13" s="7">
        <v>29825</v>
      </c>
      <c r="K13" s="7">
        <v>12624</v>
      </c>
      <c r="L13" s="7">
        <v>-27447</v>
      </c>
    </row>
    <row r="14" spans="1:12" x14ac:dyDescent="0.35">
      <c r="A14" t="s">
        <v>229</v>
      </c>
      <c r="B14" s="7"/>
      <c r="C14" s="7"/>
      <c r="D14" s="7"/>
      <c r="E14" s="7"/>
      <c r="F14" s="7"/>
      <c r="G14" s="7"/>
      <c r="H14" s="7"/>
      <c r="I14" s="7">
        <v>-174</v>
      </c>
      <c r="J14" s="7"/>
      <c r="K14" s="7">
        <v>94</v>
      </c>
      <c r="L14" s="7">
        <v>-80</v>
      </c>
    </row>
    <row r="15" spans="1:12" x14ac:dyDescent="0.35">
      <c r="A15" t="s">
        <v>230</v>
      </c>
      <c r="B15" s="7">
        <v>-1908</v>
      </c>
      <c r="C15" s="7"/>
      <c r="D15" s="7">
        <v>-821</v>
      </c>
      <c r="E15" s="7">
        <v>1846</v>
      </c>
      <c r="F15" s="7"/>
      <c r="G15" s="7"/>
      <c r="H15" s="7"/>
      <c r="I15" s="7">
        <v>-9</v>
      </c>
      <c r="J15" s="7"/>
      <c r="K15" s="7"/>
      <c r="L15" s="7">
        <v>-893</v>
      </c>
    </row>
    <row r="16" spans="1:12" x14ac:dyDescent="0.35">
      <c r="A16" t="s">
        <v>70</v>
      </c>
      <c r="B16" s="7"/>
      <c r="C16" s="7">
        <v>-999469</v>
      </c>
      <c r="D16" s="7">
        <v>1013514</v>
      </c>
      <c r="E16" s="7"/>
      <c r="F16" s="7"/>
      <c r="G16" s="7"/>
      <c r="H16" s="7"/>
      <c r="I16" s="7"/>
      <c r="J16" s="7"/>
      <c r="K16" s="7"/>
      <c r="L16" s="7">
        <v>14045</v>
      </c>
    </row>
    <row r="17" spans="1:12" x14ac:dyDescent="0.35">
      <c r="A17" t="s">
        <v>231</v>
      </c>
      <c r="B17" s="7">
        <v>-8970</v>
      </c>
      <c r="C17" s="7"/>
      <c r="D17" s="7"/>
      <c r="E17" s="7"/>
      <c r="F17" s="7"/>
      <c r="G17" s="7"/>
      <c r="H17" s="7"/>
      <c r="I17" s="7"/>
      <c r="J17" s="7"/>
      <c r="K17" s="7"/>
      <c r="L17" s="7">
        <v>-8970</v>
      </c>
    </row>
    <row r="18" spans="1:12" x14ac:dyDescent="0.35">
      <c r="A18" t="s">
        <v>232</v>
      </c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</row>
    <row r="19" spans="1:12" x14ac:dyDescent="0.35">
      <c r="A19" t="s">
        <v>233</v>
      </c>
      <c r="B19" s="7"/>
      <c r="C19" s="7">
        <v>2925</v>
      </c>
      <c r="D19" s="7">
        <v>-81</v>
      </c>
      <c r="E19" s="7">
        <v>-2733</v>
      </c>
      <c r="F19" s="7"/>
      <c r="G19" s="7"/>
      <c r="H19" s="7"/>
      <c r="I19" s="7">
        <v>-274</v>
      </c>
      <c r="J19" s="7"/>
      <c r="K19" s="7"/>
      <c r="L19" s="7">
        <v>-163</v>
      </c>
    </row>
    <row r="20" spans="1:12" x14ac:dyDescent="0.35">
      <c r="A20" t="s">
        <v>234</v>
      </c>
      <c r="B20" s="7">
        <v>-2123</v>
      </c>
      <c r="C20" s="7"/>
      <c r="D20" s="7">
        <v>-67695</v>
      </c>
      <c r="E20" s="7">
        <v>-91259</v>
      </c>
      <c r="F20" s="7"/>
      <c r="G20" s="7"/>
      <c r="H20" s="7"/>
      <c r="I20" s="7">
        <v>-1</v>
      </c>
      <c r="J20" s="7">
        <v>-34694</v>
      </c>
      <c r="K20" s="7">
        <v>-4046</v>
      </c>
      <c r="L20" s="7">
        <v>-199817</v>
      </c>
    </row>
    <row r="21" spans="1:12" x14ac:dyDescent="0.35">
      <c r="A21" t="s">
        <v>235</v>
      </c>
      <c r="B21" s="7">
        <v>-19</v>
      </c>
      <c r="C21" s="7"/>
      <c r="D21" s="7"/>
      <c r="E21" s="7">
        <v>-1547</v>
      </c>
      <c r="F21" s="7"/>
      <c r="G21" s="7"/>
      <c r="H21" s="7"/>
      <c r="I21" s="7"/>
      <c r="J21" s="7">
        <v>-28901</v>
      </c>
      <c r="K21" s="7">
        <v>-1458</v>
      </c>
      <c r="L21" s="7">
        <v>-31925</v>
      </c>
    </row>
    <row r="22" spans="1:12" x14ac:dyDescent="0.35">
      <c r="A22" t="s">
        <v>131</v>
      </c>
      <c r="B22" s="7">
        <v>34511</v>
      </c>
      <c r="C22" s="7">
        <v>3604</v>
      </c>
      <c r="D22" s="7">
        <v>934475</v>
      </c>
      <c r="E22" s="7">
        <v>379149</v>
      </c>
      <c r="F22" s="7"/>
      <c r="G22" s="7"/>
      <c r="H22" s="7">
        <v>2311</v>
      </c>
      <c r="I22" s="7">
        <v>90315</v>
      </c>
      <c r="J22" s="7">
        <v>389977</v>
      </c>
      <c r="K22" s="7">
        <v>7075</v>
      </c>
      <c r="L22" s="7">
        <v>1841416</v>
      </c>
    </row>
    <row r="23" spans="1:12" x14ac:dyDescent="0.35">
      <c r="A23" t="s">
        <v>80</v>
      </c>
      <c r="B23" s="7">
        <v>32640</v>
      </c>
      <c r="C23" s="7">
        <v>60</v>
      </c>
      <c r="D23" s="7">
        <v>44224</v>
      </c>
      <c r="E23" s="7">
        <v>135200</v>
      </c>
      <c r="F23" s="7"/>
      <c r="G23" s="7"/>
      <c r="H23" s="7">
        <v>5</v>
      </c>
      <c r="I23" s="7">
        <v>37109</v>
      </c>
      <c r="J23" s="7">
        <v>99781</v>
      </c>
      <c r="K23" s="7">
        <v>5679</v>
      </c>
      <c r="L23" s="7">
        <v>354698</v>
      </c>
    </row>
    <row r="24" spans="1:12" x14ac:dyDescent="0.35">
      <c r="A24" t="s">
        <v>82</v>
      </c>
      <c r="B24" s="7"/>
      <c r="C24" s="7">
        <v>32</v>
      </c>
      <c r="D24" s="7">
        <v>670243</v>
      </c>
      <c r="E24" s="7">
        <v>18797</v>
      </c>
      <c r="F24" s="7"/>
      <c r="G24" s="7"/>
      <c r="H24" s="7"/>
      <c r="I24" s="7">
        <v>24519</v>
      </c>
      <c r="J24" s="7">
        <v>1042</v>
      </c>
      <c r="K24" s="7"/>
      <c r="L24" s="7">
        <v>714633</v>
      </c>
    </row>
    <row r="25" spans="1:12" x14ac:dyDescent="0.35">
      <c r="A25" t="s">
        <v>86</v>
      </c>
      <c r="B25" s="7">
        <v>39</v>
      </c>
      <c r="C25" s="7">
        <v>555</v>
      </c>
      <c r="D25" s="7">
        <v>31200</v>
      </c>
      <c r="E25" s="7">
        <v>125347</v>
      </c>
      <c r="F25" s="7"/>
      <c r="G25" s="7"/>
      <c r="H25" s="7">
        <v>407</v>
      </c>
      <c r="I25" s="7">
        <v>25646</v>
      </c>
      <c r="J25" s="7">
        <v>143115</v>
      </c>
      <c r="K25" s="7"/>
      <c r="L25" s="7">
        <v>326309</v>
      </c>
    </row>
    <row r="26" spans="1:12" x14ac:dyDescent="0.35">
      <c r="A26" t="s">
        <v>88</v>
      </c>
      <c r="B26" s="7">
        <v>1517</v>
      </c>
      <c r="C26" s="7">
        <v>98</v>
      </c>
      <c r="D26" s="7">
        <v>18703</v>
      </c>
      <c r="E26" s="7">
        <v>81815</v>
      </c>
      <c r="F26" s="7"/>
      <c r="G26" s="7"/>
      <c r="H26" s="7">
        <v>1859</v>
      </c>
      <c r="I26" s="7">
        <v>1685</v>
      </c>
      <c r="J26" s="7">
        <v>127849</v>
      </c>
      <c r="K26" s="7">
        <v>1393</v>
      </c>
      <c r="L26" s="7">
        <v>234919</v>
      </c>
    </row>
    <row r="27" spans="1:12" x14ac:dyDescent="0.35">
      <c r="A27" t="s">
        <v>90</v>
      </c>
      <c r="B27" s="7"/>
      <c r="C27" s="7">
        <v>82</v>
      </c>
      <c r="D27" s="7">
        <v>22601</v>
      </c>
      <c r="E27" s="7">
        <v>2061</v>
      </c>
      <c r="F27" s="7"/>
      <c r="G27" s="7"/>
      <c r="H27" s="7"/>
      <c r="I27" s="7">
        <v>1357</v>
      </c>
      <c r="J27" s="7">
        <v>4859</v>
      </c>
      <c r="K27" s="7"/>
      <c r="L27" s="7">
        <v>30960</v>
      </c>
    </row>
    <row r="28" spans="1:12" x14ac:dyDescent="0.35">
      <c r="A28" t="s">
        <v>92</v>
      </c>
      <c r="B28" s="7">
        <v>5</v>
      </c>
      <c r="C28" s="7"/>
      <c r="D28" s="7">
        <v>275</v>
      </c>
      <c r="E28" s="7">
        <v>2</v>
      </c>
      <c r="F28" s="7"/>
      <c r="G28" s="7"/>
      <c r="H28" s="7"/>
      <c r="I28" s="7"/>
      <c r="J28" s="7">
        <v>7</v>
      </c>
      <c r="K28" s="7"/>
      <c r="L28" s="7">
        <v>288</v>
      </c>
    </row>
    <row r="29" spans="1:12" x14ac:dyDescent="0.35">
      <c r="A29" t="s">
        <v>94</v>
      </c>
      <c r="B29" s="7"/>
      <c r="C29" s="7"/>
      <c r="D29" s="7"/>
      <c r="E29" s="7"/>
      <c r="F29" s="7"/>
      <c r="G29" s="7"/>
      <c r="H29" s="7">
        <v>40</v>
      </c>
      <c r="I29" s="7"/>
      <c r="J29" s="7">
        <v>13324</v>
      </c>
      <c r="K29" s="7">
        <v>4</v>
      </c>
      <c r="L29" s="7">
        <v>13367</v>
      </c>
    </row>
    <row r="30" spans="1:12" x14ac:dyDescent="0.35">
      <c r="A30" t="s">
        <v>236</v>
      </c>
      <c r="B30" s="7">
        <v>310</v>
      </c>
      <c r="C30" s="7">
        <v>2777</v>
      </c>
      <c r="D30" s="7">
        <v>147228</v>
      </c>
      <c r="E30" s="7">
        <v>15927</v>
      </c>
      <c r="F30" s="7"/>
      <c r="G30" s="7"/>
      <c r="H30" s="7"/>
      <c r="I30" s="7"/>
      <c r="J30" s="7"/>
      <c r="K30" s="7"/>
      <c r="L30" s="7">
        <v>166242</v>
      </c>
    </row>
    <row r="32" spans="1:12" x14ac:dyDescent="0.35">
      <c r="B32" s="7">
        <f>SUM(B9,B10:B21,B22*-1)</f>
        <v>-2</v>
      </c>
      <c r="C32" s="7">
        <f t="shared" ref="C32:L32" si="0">SUM(C9,C10:C21,C22*-1)</f>
        <v>0</v>
      </c>
      <c r="D32" s="7">
        <f t="shared" si="0"/>
        <v>1</v>
      </c>
      <c r="E32" s="7">
        <f t="shared" si="0"/>
        <v>0</v>
      </c>
      <c r="F32" s="7">
        <f t="shared" si="0"/>
        <v>0</v>
      </c>
      <c r="G32" s="7">
        <f t="shared" si="0"/>
        <v>0</v>
      </c>
      <c r="H32" s="7">
        <f t="shared" si="0"/>
        <v>0</v>
      </c>
      <c r="I32" s="7">
        <f t="shared" si="0"/>
        <v>1</v>
      </c>
      <c r="J32" s="7">
        <f t="shared" si="0"/>
        <v>0</v>
      </c>
      <c r="K32" s="7">
        <f t="shared" si="0"/>
        <v>-1</v>
      </c>
      <c r="L32" s="7">
        <f t="shared" si="0"/>
        <v>0</v>
      </c>
    </row>
  </sheetData>
  <pageMargins left="0.7" right="0.7" top="0.75" bottom="0.75" header="0.3" footer="0.3"/>
  <pageSetup paperSize="9" orientation="portrait" horizontalDpi="4294967293" verticalDpi="4294967293" r:id="rId1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sheetPr codeName="Ark85"/>
  <dimension ref="A1:L32"/>
  <sheetViews>
    <sheetView workbookViewId="0">
      <selection activeCell="M35" sqref="M35"/>
    </sheetView>
  </sheetViews>
  <sheetFormatPr defaultRowHeight="14.5" x14ac:dyDescent="0.35"/>
  <cols>
    <col min="1" max="1" width="30" customWidth="1"/>
    <col min="2" max="2" width="11.54296875" customWidth="1"/>
    <col min="3" max="3" width="12" customWidth="1"/>
    <col min="4" max="4" width="14.54296875" customWidth="1"/>
    <col min="5" max="5" width="14.1796875" customWidth="1"/>
    <col min="8" max="8" width="22.81640625" customWidth="1"/>
    <col min="9" max="9" width="21.81640625" customWidth="1"/>
    <col min="10" max="10" width="13.81640625" customWidth="1"/>
    <col min="11" max="11" width="12.26953125" customWidth="1"/>
    <col min="12" max="12" width="11.81640625" customWidth="1"/>
  </cols>
  <sheetData>
    <row r="1" spans="1:12" x14ac:dyDescent="0.35">
      <c r="A1" s="91"/>
      <c r="B1" t="s">
        <v>214</v>
      </c>
      <c r="C1" t="s">
        <v>2</v>
      </c>
      <c r="D1" t="s">
        <v>215</v>
      </c>
      <c r="E1" t="s">
        <v>216</v>
      </c>
      <c r="F1" t="s">
        <v>5</v>
      </c>
      <c r="G1" t="s">
        <v>6</v>
      </c>
      <c r="H1" t="s">
        <v>217</v>
      </c>
      <c r="I1" t="s">
        <v>8</v>
      </c>
      <c r="J1" t="s">
        <v>9</v>
      </c>
      <c r="K1" t="s">
        <v>10</v>
      </c>
      <c r="L1" t="s">
        <v>218</v>
      </c>
    </row>
    <row r="2" spans="1:12" x14ac:dyDescent="0.35">
      <c r="B2" t="s">
        <v>219</v>
      </c>
      <c r="C2" t="s">
        <v>219</v>
      </c>
      <c r="D2" t="s">
        <v>219</v>
      </c>
      <c r="E2" t="s">
        <v>219</v>
      </c>
      <c r="F2" t="s">
        <v>219</v>
      </c>
      <c r="G2" t="s">
        <v>219</v>
      </c>
      <c r="H2" t="s">
        <v>219</v>
      </c>
      <c r="I2" t="s">
        <v>219</v>
      </c>
      <c r="J2" t="s">
        <v>219</v>
      </c>
      <c r="K2" t="s">
        <v>219</v>
      </c>
      <c r="L2" t="s">
        <v>219</v>
      </c>
    </row>
    <row r="3" spans="1:12" x14ac:dyDescent="0.35">
      <c r="A3" t="s">
        <v>17</v>
      </c>
      <c r="B3" s="7">
        <v>469173</v>
      </c>
      <c r="C3" s="7">
        <v>940007</v>
      </c>
      <c r="D3" s="7"/>
      <c r="E3" s="7">
        <v>811031</v>
      </c>
      <c r="F3" s="7">
        <v>245883</v>
      </c>
      <c r="G3" s="7">
        <v>59146</v>
      </c>
      <c r="H3" s="7">
        <v>38494</v>
      </c>
      <c r="I3" s="7">
        <v>132011</v>
      </c>
      <c r="J3" s="7"/>
      <c r="K3" s="7"/>
      <c r="L3" s="7">
        <v>2695745</v>
      </c>
    </row>
    <row r="4" spans="1:12" x14ac:dyDescent="0.35">
      <c r="A4" t="s">
        <v>220</v>
      </c>
      <c r="B4" s="7">
        <v>22495</v>
      </c>
      <c r="C4" s="7">
        <v>469040</v>
      </c>
      <c r="D4" s="7">
        <v>128928</v>
      </c>
      <c r="E4" s="7">
        <v>112759</v>
      </c>
      <c r="F4" s="7"/>
      <c r="G4" s="7"/>
      <c r="H4" s="7"/>
      <c r="I4" s="7">
        <v>3342</v>
      </c>
      <c r="J4" s="7">
        <v>7407</v>
      </c>
      <c r="K4" s="7"/>
      <c r="L4" s="7">
        <v>743971</v>
      </c>
    </row>
    <row r="5" spans="1:12" x14ac:dyDescent="0.35">
      <c r="A5" t="s">
        <v>221</v>
      </c>
      <c r="B5" s="7">
        <v>-62438</v>
      </c>
      <c r="C5" s="7">
        <v>-269522</v>
      </c>
      <c r="D5" s="7">
        <v>-204549</v>
      </c>
      <c r="E5" s="7">
        <v>-106390</v>
      </c>
      <c r="F5" s="7"/>
      <c r="G5" s="7"/>
      <c r="H5" s="7"/>
      <c r="I5" s="7">
        <v>-2956</v>
      </c>
      <c r="J5" s="7">
        <v>-6854</v>
      </c>
      <c r="K5" s="7"/>
      <c r="L5" s="7">
        <v>-652709</v>
      </c>
    </row>
    <row r="6" spans="1:12" x14ac:dyDescent="0.35">
      <c r="A6" t="s">
        <v>222</v>
      </c>
      <c r="B6" s="7"/>
      <c r="C6" s="7"/>
      <c r="D6" s="7">
        <v>-18025</v>
      </c>
      <c r="E6" s="7"/>
      <c r="F6" s="7"/>
      <c r="G6" s="7"/>
      <c r="H6" s="7"/>
      <c r="I6" s="7">
        <v>-175</v>
      </c>
      <c r="J6" s="7"/>
      <c r="K6" s="7"/>
      <c r="L6" s="7">
        <v>-18200</v>
      </c>
    </row>
    <row r="7" spans="1:12" x14ac:dyDescent="0.35">
      <c r="A7" t="s">
        <v>223</v>
      </c>
      <c r="B7" s="7"/>
      <c r="C7" s="7"/>
      <c r="D7" s="7">
        <v>-28583</v>
      </c>
      <c r="E7" s="7"/>
      <c r="F7" s="7"/>
      <c r="G7" s="7"/>
      <c r="H7" s="7"/>
      <c r="I7" s="7"/>
      <c r="J7" s="7"/>
      <c r="K7" s="7"/>
      <c r="L7" s="7">
        <v>-28583</v>
      </c>
    </row>
    <row r="8" spans="1:12" x14ac:dyDescent="0.35">
      <c r="A8" t="s">
        <v>224</v>
      </c>
      <c r="B8" s="7">
        <v>-18532</v>
      </c>
      <c r="C8" s="7">
        <v>-11885</v>
      </c>
      <c r="D8" s="7">
        <v>-5567</v>
      </c>
      <c r="E8" s="7">
        <v>-14266</v>
      </c>
      <c r="F8" s="7"/>
      <c r="G8" s="7"/>
      <c r="H8" s="7"/>
      <c r="I8" s="7">
        <v>-516</v>
      </c>
      <c r="J8" s="7"/>
      <c r="K8" s="7"/>
      <c r="L8" s="7">
        <v>-50766</v>
      </c>
    </row>
    <row r="9" spans="1:12" x14ac:dyDescent="0.35">
      <c r="A9" t="s">
        <v>225</v>
      </c>
      <c r="B9" s="7">
        <v>410699</v>
      </c>
      <c r="C9" s="7">
        <v>1127640</v>
      </c>
      <c r="D9" s="7">
        <v>-127796</v>
      </c>
      <c r="E9" s="7">
        <v>803134</v>
      </c>
      <c r="F9" s="7">
        <v>245883</v>
      </c>
      <c r="G9" s="7">
        <v>59146</v>
      </c>
      <c r="H9" s="7">
        <v>38494</v>
      </c>
      <c r="I9" s="7">
        <v>131705</v>
      </c>
      <c r="J9" s="7">
        <v>554</v>
      </c>
      <c r="K9" s="7"/>
      <c r="L9" s="7">
        <v>2689459</v>
      </c>
    </row>
    <row r="10" spans="1:12" x14ac:dyDescent="0.35">
      <c r="A10" t="s">
        <v>226</v>
      </c>
      <c r="B10" s="7"/>
      <c r="C10" s="7">
        <v>-92900</v>
      </c>
      <c r="D10" s="7">
        <v>100472</v>
      </c>
      <c r="E10" s="7"/>
      <c r="F10" s="7"/>
      <c r="G10" s="7"/>
      <c r="H10" s="7"/>
      <c r="I10" s="7"/>
      <c r="J10" s="7"/>
      <c r="K10" s="7"/>
      <c r="L10" s="7">
        <v>7571</v>
      </c>
    </row>
    <row r="11" spans="1:12" x14ac:dyDescent="0.35">
      <c r="A11" t="s">
        <v>227</v>
      </c>
      <c r="B11" s="7">
        <v>-950</v>
      </c>
      <c r="C11" s="7">
        <v>-13725</v>
      </c>
      <c r="D11" s="7">
        <v>20786</v>
      </c>
      <c r="E11" s="7">
        <v>-1208</v>
      </c>
      <c r="F11" s="7"/>
      <c r="G11" s="7"/>
      <c r="H11" s="7"/>
      <c r="I11" s="7">
        <v>75</v>
      </c>
      <c r="J11" s="7">
        <v>-415</v>
      </c>
      <c r="K11" s="7">
        <v>100</v>
      </c>
      <c r="L11" s="7">
        <v>4664</v>
      </c>
    </row>
    <row r="12" spans="1:12" x14ac:dyDescent="0.35">
      <c r="A12" t="s">
        <v>228</v>
      </c>
      <c r="B12" s="7">
        <v>-361953</v>
      </c>
      <c r="C12" s="7"/>
      <c r="D12" s="7">
        <v>-16046</v>
      </c>
      <c r="E12" s="7">
        <v>-243091</v>
      </c>
      <c r="F12" s="7">
        <v>-245883</v>
      </c>
      <c r="G12" s="7">
        <v>-59146</v>
      </c>
      <c r="H12" s="7">
        <v>-35642</v>
      </c>
      <c r="I12" s="7">
        <v>-18380</v>
      </c>
      <c r="J12" s="7">
        <v>428736</v>
      </c>
      <c r="K12" s="7"/>
      <c r="L12" s="7">
        <v>-551405</v>
      </c>
    </row>
    <row r="13" spans="1:12" x14ac:dyDescent="0.35">
      <c r="A13" t="s">
        <v>66</v>
      </c>
      <c r="B13" s="7">
        <v>-8196</v>
      </c>
      <c r="C13" s="7"/>
      <c r="D13" s="7">
        <v>-3287</v>
      </c>
      <c r="E13" s="7">
        <v>-50115</v>
      </c>
      <c r="F13" s="7"/>
      <c r="G13" s="7"/>
      <c r="H13" s="7"/>
      <c r="I13" s="7">
        <v>-11357</v>
      </c>
      <c r="J13" s="7">
        <v>30506</v>
      </c>
      <c r="K13" s="7">
        <v>10452</v>
      </c>
      <c r="L13" s="7">
        <v>-31997</v>
      </c>
    </row>
    <row r="14" spans="1:12" x14ac:dyDescent="0.35">
      <c r="A14" t="s">
        <v>229</v>
      </c>
      <c r="B14" s="7">
        <v>-1</v>
      </c>
      <c r="C14" s="7"/>
      <c r="D14" s="7"/>
      <c r="E14" s="7"/>
      <c r="F14" s="7"/>
      <c r="G14" s="7"/>
      <c r="H14" s="7"/>
      <c r="I14" s="7">
        <v>-189</v>
      </c>
      <c r="J14" s="7"/>
      <c r="K14" s="7">
        <v>103</v>
      </c>
      <c r="L14" s="7">
        <v>-87</v>
      </c>
    </row>
    <row r="15" spans="1:12" x14ac:dyDescent="0.35">
      <c r="A15" t="s">
        <v>230</v>
      </c>
      <c r="B15" s="7">
        <v>-1985</v>
      </c>
      <c r="C15" s="7"/>
      <c r="D15" s="7">
        <v>-769</v>
      </c>
      <c r="E15" s="7">
        <v>1559</v>
      </c>
      <c r="F15" s="7"/>
      <c r="G15" s="7"/>
      <c r="H15" s="7"/>
      <c r="I15" s="7">
        <v>-1</v>
      </c>
      <c r="J15" s="7"/>
      <c r="K15" s="7"/>
      <c r="L15" s="7">
        <v>-1196</v>
      </c>
    </row>
    <row r="16" spans="1:12" x14ac:dyDescent="0.35">
      <c r="A16" t="s">
        <v>70</v>
      </c>
      <c r="B16" s="7"/>
      <c r="C16" s="7">
        <v>-1025097</v>
      </c>
      <c r="D16" s="7">
        <v>997990</v>
      </c>
      <c r="E16" s="7"/>
      <c r="F16" s="7"/>
      <c r="G16" s="7"/>
      <c r="H16" s="7"/>
      <c r="I16" s="7"/>
      <c r="J16" s="7"/>
      <c r="K16" s="7"/>
      <c r="L16" s="7">
        <v>-27106</v>
      </c>
    </row>
    <row r="17" spans="1:12" x14ac:dyDescent="0.35">
      <c r="A17" t="s">
        <v>231</v>
      </c>
      <c r="B17" s="7">
        <v>-9510</v>
      </c>
      <c r="C17" s="7"/>
      <c r="D17" s="7"/>
      <c r="E17" s="7"/>
      <c r="F17" s="7"/>
      <c r="G17" s="7"/>
      <c r="H17" s="7"/>
      <c r="I17" s="7"/>
      <c r="J17" s="7"/>
      <c r="K17" s="7"/>
      <c r="L17" s="7">
        <v>-9510</v>
      </c>
    </row>
    <row r="18" spans="1:12" x14ac:dyDescent="0.35">
      <c r="A18" t="s">
        <v>232</v>
      </c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</row>
    <row r="19" spans="1:12" x14ac:dyDescent="0.35">
      <c r="A19" t="s">
        <v>233</v>
      </c>
      <c r="B19" s="7"/>
      <c r="C19" s="7">
        <v>8384</v>
      </c>
      <c r="D19" s="7">
        <v>-157</v>
      </c>
      <c r="E19" s="7">
        <v>-7595</v>
      </c>
      <c r="F19" s="7"/>
      <c r="G19" s="7"/>
      <c r="H19" s="7"/>
      <c r="I19" s="7">
        <v>-73</v>
      </c>
      <c r="J19" s="7"/>
      <c r="K19" s="7"/>
      <c r="L19" s="7">
        <v>560</v>
      </c>
    </row>
    <row r="20" spans="1:12" x14ac:dyDescent="0.35">
      <c r="A20" t="s">
        <v>234</v>
      </c>
      <c r="B20" s="7">
        <v>-1860</v>
      </c>
      <c r="C20" s="7"/>
      <c r="D20" s="7">
        <v>-55761</v>
      </c>
      <c r="E20" s="7">
        <v>-102237</v>
      </c>
      <c r="F20" s="7"/>
      <c r="G20" s="7"/>
      <c r="H20" s="7"/>
      <c r="I20" s="7">
        <v>-148</v>
      </c>
      <c r="J20" s="7">
        <v>-34914</v>
      </c>
      <c r="K20" s="7">
        <v>-3332</v>
      </c>
      <c r="L20" s="7">
        <v>-198251</v>
      </c>
    </row>
    <row r="21" spans="1:12" x14ac:dyDescent="0.35">
      <c r="A21" t="s">
        <v>235</v>
      </c>
      <c r="B21" s="7">
        <v>-15</v>
      </c>
      <c r="C21" s="7"/>
      <c r="D21" s="7"/>
      <c r="E21" s="7">
        <v>-31</v>
      </c>
      <c r="F21" s="7"/>
      <c r="G21" s="7"/>
      <c r="H21" s="7"/>
      <c r="I21" s="7">
        <v>-1</v>
      </c>
      <c r="J21" s="7">
        <v>-28627</v>
      </c>
      <c r="K21" s="7">
        <v>-1199</v>
      </c>
      <c r="L21" s="7">
        <v>-29873</v>
      </c>
    </row>
    <row r="22" spans="1:12" x14ac:dyDescent="0.35">
      <c r="A22" t="s">
        <v>131</v>
      </c>
      <c r="B22" s="7">
        <v>26229</v>
      </c>
      <c r="C22" s="7">
        <v>4302</v>
      </c>
      <c r="D22" s="7">
        <v>915433</v>
      </c>
      <c r="E22" s="7">
        <v>400416</v>
      </c>
      <c r="F22" s="7"/>
      <c r="G22" s="7"/>
      <c r="H22" s="7">
        <v>2852</v>
      </c>
      <c r="I22" s="7">
        <v>101631</v>
      </c>
      <c r="J22" s="7">
        <v>395840</v>
      </c>
      <c r="K22" s="7">
        <v>6125</v>
      </c>
      <c r="L22" s="7">
        <v>1852828</v>
      </c>
    </row>
    <row r="23" spans="1:12" x14ac:dyDescent="0.35">
      <c r="A23" t="s">
        <v>80</v>
      </c>
      <c r="B23" s="7">
        <v>25340</v>
      </c>
      <c r="C23" s="7"/>
      <c r="D23" s="7">
        <v>35082</v>
      </c>
      <c r="E23" s="7">
        <v>149393</v>
      </c>
      <c r="F23" s="7"/>
      <c r="G23" s="7"/>
      <c r="H23" s="7">
        <v>11</v>
      </c>
      <c r="I23" s="7">
        <v>39599</v>
      </c>
      <c r="J23" s="7">
        <v>99997</v>
      </c>
      <c r="K23" s="7">
        <v>4906</v>
      </c>
      <c r="L23" s="7">
        <v>354328</v>
      </c>
    </row>
    <row r="24" spans="1:12" x14ac:dyDescent="0.35">
      <c r="A24" t="s">
        <v>82</v>
      </c>
      <c r="B24" s="7"/>
      <c r="C24" s="7"/>
      <c r="D24" s="7">
        <v>678357</v>
      </c>
      <c r="E24" s="7">
        <v>20232</v>
      </c>
      <c r="F24" s="7"/>
      <c r="G24" s="7"/>
      <c r="H24" s="7"/>
      <c r="I24" s="7">
        <v>36805</v>
      </c>
      <c r="J24" s="7">
        <v>1531</v>
      </c>
      <c r="K24" s="7"/>
      <c r="L24" s="7">
        <v>736925</v>
      </c>
    </row>
    <row r="25" spans="1:12" x14ac:dyDescent="0.35">
      <c r="A25" t="s">
        <v>86</v>
      </c>
      <c r="B25" s="7">
        <v>9</v>
      </c>
      <c r="C25" s="7"/>
      <c r="D25" s="7">
        <v>24378</v>
      </c>
      <c r="E25" s="7">
        <v>124460</v>
      </c>
      <c r="F25" s="7"/>
      <c r="G25" s="7"/>
      <c r="H25" s="7">
        <v>615</v>
      </c>
      <c r="I25" s="7">
        <v>21837</v>
      </c>
      <c r="J25" s="7">
        <v>140993</v>
      </c>
      <c r="K25" s="7"/>
      <c r="L25" s="7">
        <v>312293</v>
      </c>
    </row>
    <row r="26" spans="1:12" x14ac:dyDescent="0.35">
      <c r="A26" t="s">
        <v>88</v>
      </c>
      <c r="B26" s="7">
        <v>680</v>
      </c>
      <c r="C26" s="7"/>
      <c r="D26" s="7">
        <v>15278</v>
      </c>
      <c r="E26" s="7">
        <v>84802</v>
      </c>
      <c r="F26" s="7"/>
      <c r="G26" s="7"/>
      <c r="H26" s="7">
        <v>2149</v>
      </c>
      <c r="I26" s="7">
        <v>2197</v>
      </c>
      <c r="J26" s="7">
        <v>131701</v>
      </c>
      <c r="K26" s="7">
        <v>1199</v>
      </c>
      <c r="L26" s="7">
        <v>238007</v>
      </c>
    </row>
    <row r="27" spans="1:12" x14ac:dyDescent="0.35">
      <c r="A27" t="s">
        <v>90</v>
      </c>
      <c r="B27" s="7"/>
      <c r="C27" s="7"/>
      <c r="D27" s="7">
        <v>23001</v>
      </c>
      <c r="E27" s="7">
        <v>2290</v>
      </c>
      <c r="F27" s="7"/>
      <c r="G27" s="7"/>
      <c r="H27" s="7"/>
      <c r="I27" s="7">
        <v>1193</v>
      </c>
      <c r="J27" s="7">
        <v>5011</v>
      </c>
      <c r="K27" s="7"/>
      <c r="L27" s="7">
        <v>31495</v>
      </c>
    </row>
    <row r="28" spans="1:12" x14ac:dyDescent="0.35">
      <c r="A28" t="s">
        <v>92</v>
      </c>
      <c r="B28" s="7"/>
      <c r="C28" s="7"/>
      <c r="D28" s="7">
        <v>210</v>
      </c>
      <c r="E28" s="7">
        <v>4</v>
      </c>
      <c r="F28" s="7"/>
      <c r="G28" s="7"/>
      <c r="H28" s="7"/>
      <c r="I28" s="7"/>
      <c r="J28" s="7">
        <v>9</v>
      </c>
      <c r="K28" s="7"/>
      <c r="L28" s="7">
        <v>223</v>
      </c>
    </row>
    <row r="29" spans="1:12" x14ac:dyDescent="0.35">
      <c r="A29" t="s">
        <v>94</v>
      </c>
      <c r="B29" s="7"/>
      <c r="C29" s="7"/>
      <c r="D29" s="7"/>
      <c r="E29" s="7"/>
      <c r="F29" s="7"/>
      <c r="G29" s="7"/>
      <c r="H29" s="7">
        <v>77</v>
      </c>
      <c r="I29" s="7"/>
      <c r="J29" s="7">
        <v>16598</v>
      </c>
      <c r="K29" s="7">
        <v>20</v>
      </c>
      <c r="L29" s="7">
        <v>16694</v>
      </c>
    </row>
    <row r="30" spans="1:12" x14ac:dyDescent="0.35">
      <c r="A30" t="s">
        <v>236</v>
      </c>
      <c r="B30" s="7">
        <v>200</v>
      </c>
      <c r="C30" s="7">
        <v>4302</v>
      </c>
      <c r="D30" s="7">
        <v>139127</v>
      </c>
      <c r="E30" s="7">
        <v>19235</v>
      </c>
      <c r="F30" s="7"/>
      <c r="G30" s="7"/>
      <c r="H30" s="7"/>
      <c r="I30" s="7"/>
      <c r="J30" s="7"/>
      <c r="K30" s="7"/>
      <c r="L30" s="7">
        <v>162863</v>
      </c>
    </row>
    <row r="32" spans="1:12" x14ac:dyDescent="0.35">
      <c r="B32" s="7">
        <f>SUM(B9,B10:B21,B22*-1)</f>
        <v>0</v>
      </c>
      <c r="C32" s="7">
        <f t="shared" ref="C32:L32" si="0">SUM(C9,C10:C21,C22*-1)</f>
        <v>0</v>
      </c>
      <c r="D32" s="7">
        <f t="shared" si="0"/>
        <v>-1</v>
      </c>
      <c r="E32" s="7">
        <f t="shared" si="0"/>
        <v>0</v>
      </c>
      <c r="F32" s="7">
        <f t="shared" si="0"/>
        <v>0</v>
      </c>
      <c r="G32" s="7">
        <f t="shared" si="0"/>
        <v>0</v>
      </c>
      <c r="H32" s="7">
        <f t="shared" si="0"/>
        <v>0</v>
      </c>
      <c r="I32" s="7">
        <f t="shared" si="0"/>
        <v>0</v>
      </c>
      <c r="J32" s="7">
        <f t="shared" si="0"/>
        <v>0</v>
      </c>
      <c r="K32" s="7">
        <f t="shared" si="0"/>
        <v>-1</v>
      </c>
      <c r="L32" s="7">
        <f t="shared" si="0"/>
        <v>1</v>
      </c>
    </row>
  </sheetData>
  <pageMargins left="0.7" right="0.7" top="0.75" bottom="0.75" header="0.3" footer="0.3"/>
  <pageSetup paperSize="9" orientation="portrait" horizontalDpi="4294967293" verticalDpi="4294967293" r:id="rId1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sheetPr codeName="Ark86"/>
  <dimension ref="A1:N32"/>
  <sheetViews>
    <sheetView workbookViewId="0">
      <selection activeCell="N30" sqref="N30"/>
    </sheetView>
  </sheetViews>
  <sheetFormatPr defaultRowHeight="14.5" x14ac:dyDescent="0.35"/>
  <cols>
    <col min="1" max="1" width="30" customWidth="1"/>
    <col min="2" max="2" width="11.54296875" customWidth="1"/>
    <col min="3" max="3" width="12" customWidth="1"/>
    <col min="4" max="4" width="14.54296875" customWidth="1"/>
    <col min="5" max="5" width="14.1796875" customWidth="1"/>
    <col min="8" max="8" width="22.81640625" customWidth="1"/>
    <col min="9" max="9" width="21.81640625" customWidth="1"/>
    <col min="10" max="10" width="13.81640625" customWidth="1"/>
    <col min="11" max="11" width="12.26953125" customWidth="1"/>
    <col min="12" max="12" width="11.81640625" customWidth="1"/>
  </cols>
  <sheetData>
    <row r="1" spans="1:14" x14ac:dyDescent="0.35">
      <c r="A1" s="91"/>
      <c r="B1" t="s">
        <v>214</v>
      </c>
      <c r="C1" t="s">
        <v>2</v>
      </c>
      <c r="D1" t="s">
        <v>215</v>
      </c>
      <c r="E1" t="s">
        <v>216</v>
      </c>
      <c r="F1" t="s">
        <v>5</v>
      </c>
      <c r="G1" t="s">
        <v>6</v>
      </c>
      <c r="H1" t="s">
        <v>217</v>
      </c>
      <c r="I1" t="s">
        <v>8</v>
      </c>
      <c r="J1" t="s">
        <v>9</v>
      </c>
      <c r="K1" t="s">
        <v>10</v>
      </c>
      <c r="L1" t="s">
        <v>218</v>
      </c>
    </row>
    <row r="2" spans="1:14" x14ac:dyDescent="0.35">
      <c r="B2" t="s">
        <v>219</v>
      </c>
      <c r="C2" t="s">
        <v>219</v>
      </c>
      <c r="D2" t="s">
        <v>219</v>
      </c>
      <c r="E2" t="s">
        <v>219</v>
      </c>
      <c r="F2" t="s">
        <v>219</v>
      </c>
      <c r="G2" t="s">
        <v>219</v>
      </c>
      <c r="H2" t="s">
        <v>219</v>
      </c>
      <c r="I2" t="s">
        <v>219</v>
      </c>
      <c r="J2" t="s">
        <v>219</v>
      </c>
      <c r="K2" t="s">
        <v>219</v>
      </c>
      <c r="L2" t="s">
        <v>219</v>
      </c>
    </row>
    <row r="3" spans="1:14" x14ac:dyDescent="0.35">
      <c r="A3" t="s">
        <v>17</v>
      </c>
      <c r="B3" s="7">
        <v>407755</v>
      </c>
      <c r="C3" s="7">
        <v>1058425</v>
      </c>
      <c r="D3" s="7"/>
      <c r="E3" s="7">
        <v>900523</v>
      </c>
      <c r="F3" s="7">
        <v>249025</v>
      </c>
      <c r="G3" s="7">
        <v>63400</v>
      </c>
      <c r="H3" s="7">
        <v>52471</v>
      </c>
      <c r="I3" s="7">
        <v>141984</v>
      </c>
      <c r="J3" s="7"/>
      <c r="K3" s="7"/>
      <c r="L3" s="7">
        <v>2873584</v>
      </c>
    </row>
    <row r="4" spans="1:14" x14ac:dyDescent="0.35">
      <c r="A4" t="s">
        <v>220</v>
      </c>
      <c r="B4" s="7">
        <v>21403</v>
      </c>
      <c r="C4" s="7">
        <v>485283</v>
      </c>
      <c r="D4" s="7">
        <v>155240</v>
      </c>
      <c r="E4" s="7">
        <v>128020</v>
      </c>
      <c r="F4" s="7"/>
      <c r="G4" s="7"/>
      <c r="H4" s="7"/>
      <c r="I4" s="7">
        <v>2595</v>
      </c>
      <c r="J4" s="7">
        <v>6467</v>
      </c>
      <c r="K4" s="7"/>
      <c r="L4" s="7">
        <v>799007</v>
      </c>
    </row>
    <row r="5" spans="1:14" x14ac:dyDescent="0.35">
      <c r="A5" t="s">
        <v>221</v>
      </c>
      <c r="B5" s="7">
        <v>-88809</v>
      </c>
      <c r="C5" s="7">
        <v>-387396</v>
      </c>
      <c r="D5" s="7">
        <v>-249771</v>
      </c>
      <c r="E5" s="7">
        <v>-151891</v>
      </c>
      <c r="F5" s="7"/>
      <c r="G5" s="7"/>
      <c r="H5" s="7"/>
      <c r="I5" s="7">
        <v>-5619</v>
      </c>
      <c r="J5" s="7">
        <v>-6662</v>
      </c>
      <c r="K5" s="7"/>
      <c r="L5" s="7">
        <v>-890147</v>
      </c>
    </row>
    <row r="6" spans="1:14" x14ac:dyDescent="0.35">
      <c r="A6" t="s">
        <v>222</v>
      </c>
      <c r="B6" s="7"/>
      <c r="C6" s="7"/>
      <c r="D6" s="7">
        <v>-23148</v>
      </c>
      <c r="E6" s="7"/>
      <c r="F6" s="7"/>
      <c r="G6" s="7"/>
      <c r="H6" s="7"/>
      <c r="I6" s="7">
        <v>-137</v>
      </c>
      <c r="J6" s="7"/>
      <c r="K6" s="7"/>
      <c r="L6" s="7">
        <v>-23286</v>
      </c>
    </row>
    <row r="7" spans="1:14" x14ac:dyDescent="0.35">
      <c r="A7" t="s">
        <v>223</v>
      </c>
      <c r="B7" s="7"/>
      <c r="C7" s="7"/>
      <c r="D7" s="7">
        <v>-31124</v>
      </c>
      <c r="E7" s="7"/>
      <c r="F7" s="7"/>
      <c r="G7" s="7"/>
      <c r="H7" s="7"/>
      <c r="I7" s="7"/>
      <c r="J7" s="7"/>
      <c r="K7" s="7"/>
      <c r="L7" s="7">
        <v>-31124</v>
      </c>
    </row>
    <row r="8" spans="1:14" x14ac:dyDescent="0.35">
      <c r="A8" t="s">
        <v>224</v>
      </c>
      <c r="B8" s="7">
        <v>14724</v>
      </c>
      <c r="C8" s="7">
        <v>-2753</v>
      </c>
      <c r="D8" s="7">
        <v>293</v>
      </c>
      <c r="E8" s="7">
        <v>7977</v>
      </c>
      <c r="F8" s="7"/>
      <c r="G8" s="7"/>
      <c r="H8" s="7"/>
      <c r="I8" s="7">
        <v>-248</v>
      </c>
      <c r="J8" s="7"/>
      <c r="K8" s="7"/>
      <c r="L8" s="7">
        <v>19993</v>
      </c>
    </row>
    <row r="9" spans="1:14" x14ac:dyDescent="0.35">
      <c r="A9" t="s">
        <v>225</v>
      </c>
      <c r="B9" s="7">
        <v>355073</v>
      </c>
      <c r="C9" s="7">
        <v>1153559</v>
      </c>
      <c r="D9" s="7">
        <v>-148510</v>
      </c>
      <c r="E9" s="7">
        <v>884629</v>
      </c>
      <c r="F9" s="7">
        <v>249025</v>
      </c>
      <c r="G9" s="7">
        <v>63400</v>
      </c>
      <c r="H9" s="7">
        <v>52471</v>
      </c>
      <c r="I9" s="7">
        <v>138575</v>
      </c>
      <c r="J9" s="7">
        <v>-195</v>
      </c>
      <c r="K9" s="7"/>
      <c r="L9" s="7">
        <v>2748027</v>
      </c>
    </row>
    <row r="10" spans="1:14" x14ac:dyDescent="0.35">
      <c r="A10" t="s">
        <v>226</v>
      </c>
      <c r="B10" s="7"/>
      <c r="C10" s="7">
        <v>-112955</v>
      </c>
      <c r="D10" s="7">
        <v>124315</v>
      </c>
      <c r="E10" s="7"/>
      <c r="F10" s="7"/>
      <c r="G10" s="7"/>
      <c r="H10" s="7"/>
      <c r="I10" s="7"/>
      <c r="J10" s="7"/>
      <c r="K10" s="7"/>
      <c r="L10" s="7">
        <v>11360</v>
      </c>
    </row>
    <row r="11" spans="1:14" x14ac:dyDescent="0.35">
      <c r="A11" t="s">
        <v>227</v>
      </c>
      <c r="B11" s="7">
        <v>164</v>
      </c>
      <c r="C11" s="7">
        <v>1160</v>
      </c>
      <c r="D11" s="7">
        <v>21744</v>
      </c>
      <c r="E11" s="7">
        <v>173</v>
      </c>
      <c r="F11" s="7"/>
      <c r="G11" s="7"/>
      <c r="H11" s="7"/>
      <c r="I11" s="7">
        <v>327</v>
      </c>
      <c r="J11" s="7">
        <v>1499</v>
      </c>
      <c r="K11" s="7">
        <v>193</v>
      </c>
      <c r="L11" s="7">
        <v>25259</v>
      </c>
    </row>
    <row r="12" spans="1:14" x14ac:dyDescent="0.35">
      <c r="A12" t="s">
        <v>228</v>
      </c>
      <c r="B12" s="7">
        <v>-313810</v>
      </c>
      <c r="C12" s="7"/>
      <c r="D12" s="7">
        <v>-17472</v>
      </c>
      <c r="E12" s="7">
        <v>-273724</v>
      </c>
      <c r="F12" s="7">
        <v>-249025</v>
      </c>
      <c r="G12" s="7">
        <v>-63400</v>
      </c>
      <c r="H12" s="7">
        <v>-48548</v>
      </c>
      <c r="I12" s="7">
        <v>-17946</v>
      </c>
      <c r="J12" s="7">
        <v>443702</v>
      </c>
      <c r="K12" s="7"/>
      <c r="L12" s="7">
        <v>-540223</v>
      </c>
      <c r="N12">
        <f>(B12*Emissionsfaktorer!B$2+D12*Emissionsfaktorer!B$4+E12*Emissionsfaktorer!B$5)*0.041872*-1</f>
        <v>1957.1847924799999</v>
      </c>
    </row>
    <row r="13" spans="1:14" x14ac:dyDescent="0.35">
      <c r="A13" t="s">
        <v>66</v>
      </c>
      <c r="B13" s="7">
        <v>-6267</v>
      </c>
      <c r="C13" s="7"/>
      <c r="D13" s="7">
        <v>-2561</v>
      </c>
      <c r="E13" s="7">
        <v>-47573</v>
      </c>
      <c r="F13" s="7"/>
      <c r="G13" s="7"/>
      <c r="H13" s="7"/>
      <c r="I13" s="7">
        <v>-11971</v>
      </c>
      <c r="J13" s="7">
        <v>29739</v>
      </c>
      <c r="K13" s="7">
        <v>11773</v>
      </c>
      <c r="L13" s="7">
        <v>-26860</v>
      </c>
      <c r="N13">
        <f>(B13*Emissionsfaktorer!B$2+D13*Emissionsfaktorer!B$4+E13*Emissionsfaktorer!B$5)*0.041872*-1</f>
        <v>146.62159126400002</v>
      </c>
    </row>
    <row r="14" spans="1:14" x14ac:dyDescent="0.35">
      <c r="A14" t="s">
        <v>229</v>
      </c>
      <c r="B14" s="7">
        <v>-1</v>
      </c>
      <c r="C14" s="7"/>
      <c r="D14" s="7"/>
      <c r="E14" s="7"/>
      <c r="F14" s="7"/>
      <c r="G14" s="7"/>
      <c r="H14" s="7"/>
      <c r="I14" s="7">
        <v>-189</v>
      </c>
      <c r="J14" s="7"/>
      <c r="K14" s="7">
        <v>103</v>
      </c>
      <c r="L14" s="7">
        <v>-87</v>
      </c>
      <c r="N14">
        <f>(B14*Emissionsfaktorer!B$2+D14*Emissionsfaktorer!B$4+E14*Emissionsfaktorer!B$5)*0.041872*-1</f>
        <v>3.9778399999999998E-3</v>
      </c>
    </row>
    <row r="15" spans="1:14" x14ac:dyDescent="0.35">
      <c r="A15" t="s">
        <v>230</v>
      </c>
      <c r="B15" s="7">
        <v>-1963</v>
      </c>
      <c r="C15" s="7"/>
      <c r="D15" s="7">
        <v>-780</v>
      </c>
      <c r="E15" s="7">
        <v>1319</v>
      </c>
      <c r="F15" s="7"/>
      <c r="G15" s="7"/>
      <c r="H15" s="7"/>
      <c r="I15" s="7"/>
      <c r="J15" s="7"/>
      <c r="K15" s="7"/>
      <c r="L15" s="7">
        <v>-1423</v>
      </c>
      <c r="N15">
        <f>(B15*Emissionsfaktorer!B$2+D15*Emissionsfaktorer!B$4+E15*Emissionsfaktorer!B$5)*0.041872*-1</f>
        <v>7.1426095039999993</v>
      </c>
    </row>
    <row r="16" spans="1:14" x14ac:dyDescent="0.35">
      <c r="A16" t="s">
        <v>70</v>
      </c>
      <c r="B16" s="7"/>
      <c r="C16" s="7">
        <v>-1044918</v>
      </c>
      <c r="D16" s="7">
        <v>1018631</v>
      </c>
      <c r="E16" s="7"/>
      <c r="F16" s="7"/>
      <c r="G16" s="7"/>
      <c r="H16" s="7"/>
      <c r="I16" s="7"/>
      <c r="J16" s="7"/>
      <c r="K16" s="7"/>
      <c r="L16" s="7">
        <v>-26287</v>
      </c>
      <c r="N16">
        <f>(B16*Emissionsfaktorer!B$2+D16*Emissionsfaktorer!B$4+E16*Emissionsfaktorer!B$5)*0.041872*-1</f>
        <v>-3241.5609096319995</v>
      </c>
    </row>
    <row r="17" spans="1:14" x14ac:dyDescent="0.35">
      <c r="A17" t="s">
        <v>231</v>
      </c>
      <c r="B17" s="7">
        <v>-8441</v>
      </c>
      <c r="C17" s="7"/>
      <c r="D17" s="7">
        <v>-1</v>
      </c>
      <c r="E17" s="7"/>
      <c r="F17" s="7"/>
      <c r="G17" s="7"/>
      <c r="H17" s="7"/>
      <c r="I17" s="7"/>
      <c r="J17" s="7"/>
      <c r="K17" s="7"/>
      <c r="L17" s="7">
        <v>-8442</v>
      </c>
      <c r="N17">
        <f>(B17*Emissionsfaktorer!B$2+D17*Emissionsfaktorer!B$4+E17*Emissionsfaktorer!B$5)*0.041872*-1</f>
        <v>33.580129712000002</v>
      </c>
    </row>
    <row r="18" spans="1:14" x14ac:dyDescent="0.35">
      <c r="A18" t="s">
        <v>232</v>
      </c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N18">
        <f>(B18*Emissionsfaktorer!B$2+D18*Emissionsfaktorer!B$4+E18*Emissionsfaktorer!B$5)*0.041872*-1</f>
        <v>0</v>
      </c>
    </row>
    <row r="19" spans="1:14" x14ac:dyDescent="0.35">
      <c r="A19" t="s">
        <v>233</v>
      </c>
      <c r="B19" s="7"/>
      <c r="C19" s="7">
        <v>8850</v>
      </c>
      <c r="D19" s="7">
        <v>-34</v>
      </c>
      <c r="E19" s="7">
        <v>-8267</v>
      </c>
      <c r="F19" s="7"/>
      <c r="G19" s="7"/>
      <c r="H19" s="7"/>
      <c r="I19" s="7">
        <v>-143</v>
      </c>
      <c r="J19" s="7"/>
      <c r="K19" s="7"/>
      <c r="L19" s="7">
        <v>405</v>
      </c>
      <c r="N19">
        <f>(B19*Emissionsfaktorer!B$2+D19*Emissionsfaktorer!B$4+E19*Emissionsfaktorer!B$5)*0.041872*-1</f>
        <v>19.839079215999998</v>
      </c>
    </row>
    <row r="20" spans="1:14" x14ac:dyDescent="0.35">
      <c r="A20" t="s">
        <v>234</v>
      </c>
      <c r="B20" s="7">
        <v>-1708</v>
      </c>
      <c r="C20" s="7"/>
      <c r="D20" s="7">
        <v>-51552</v>
      </c>
      <c r="E20" s="7">
        <v>-106569</v>
      </c>
      <c r="F20" s="7"/>
      <c r="G20" s="7"/>
      <c r="H20" s="7"/>
      <c r="I20" s="7">
        <v>-119</v>
      </c>
      <c r="J20" s="7">
        <v>-38169</v>
      </c>
      <c r="K20" s="7">
        <v>-3818</v>
      </c>
      <c r="L20" s="7">
        <v>-201935</v>
      </c>
      <c r="N20">
        <f>(B20*Emissionsfaktorer!B$2+D20*Emissionsfaktorer!B$4+E20*Emissionsfaktorer!B$5)*0.041872*-1</f>
        <v>425.19529544</v>
      </c>
    </row>
    <row r="21" spans="1:14" x14ac:dyDescent="0.35">
      <c r="A21" t="s">
        <v>235</v>
      </c>
      <c r="B21" s="7">
        <v>-17</v>
      </c>
      <c r="C21" s="7"/>
      <c r="D21" s="7"/>
      <c r="E21" s="7">
        <v>-69</v>
      </c>
      <c r="F21" s="7"/>
      <c r="G21" s="7"/>
      <c r="H21" s="7"/>
      <c r="I21" s="7"/>
      <c r="J21" s="7">
        <v>-25425</v>
      </c>
      <c r="K21" s="7">
        <v>-1365</v>
      </c>
      <c r="L21" s="7">
        <v>-26876</v>
      </c>
      <c r="N21">
        <f>(B21*Emissionsfaktorer!B$2+D21*Emissionsfaktorer!B$4+E21*Emissionsfaktorer!B$5)*0.041872*-1</f>
        <v>0.23230585600000001</v>
      </c>
    </row>
    <row r="22" spans="1:14" x14ac:dyDescent="0.35">
      <c r="A22" t="s">
        <v>131</v>
      </c>
      <c r="B22" s="7">
        <v>23031</v>
      </c>
      <c r="C22" s="7">
        <v>5696</v>
      </c>
      <c r="D22" s="7">
        <v>943780</v>
      </c>
      <c r="E22" s="7">
        <v>449919</v>
      </c>
      <c r="F22" s="7"/>
      <c r="G22" s="7"/>
      <c r="H22" s="7">
        <v>3924</v>
      </c>
      <c r="I22" s="7">
        <v>108534</v>
      </c>
      <c r="J22" s="7">
        <v>411151</v>
      </c>
      <c r="K22" s="7">
        <v>6886</v>
      </c>
      <c r="L22" s="7">
        <v>1952920</v>
      </c>
      <c r="N22">
        <f>(B22*Emissionsfaktorer!B$2+D22*Emissionsfaktorer!B$4+E22*Emissionsfaktorer!B$5)*0.041872</f>
        <v>4168.801778176</v>
      </c>
    </row>
    <row r="23" spans="1:14" x14ac:dyDescent="0.35">
      <c r="A23" t="s">
        <v>80</v>
      </c>
      <c r="B23" s="7">
        <v>22399</v>
      </c>
      <c r="C23" s="7"/>
      <c r="D23" s="7">
        <v>36549</v>
      </c>
      <c r="E23" s="7">
        <v>163815</v>
      </c>
      <c r="F23" s="7"/>
      <c r="G23" s="7"/>
      <c r="H23" s="7">
        <v>16</v>
      </c>
      <c r="I23" s="7">
        <v>43115</v>
      </c>
      <c r="J23" s="7">
        <v>98926</v>
      </c>
      <c r="K23" s="7">
        <v>5530</v>
      </c>
      <c r="L23" s="7">
        <v>370350</v>
      </c>
      <c r="N23">
        <f>(B23*Emissionsfaktorer!B$2+D23*Emissionsfaktorer!B$4+E23*Emissionsfaktorer!B$5)*0.041872</f>
        <v>596.38641324799994</v>
      </c>
    </row>
    <row r="24" spans="1:14" x14ac:dyDescent="0.35">
      <c r="A24" t="s">
        <v>82</v>
      </c>
      <c r="B24" s="7"/>
      <c r="C24" s="7"/>
      <c r="D24" s="7">
        <v>702325</v>
      </c>
      <c r="E24" s="7">
        <v>25187</v>
      </c>
      <c r="F24" s="7"/>
      <c r="G24" s="7"/>
      <c r="H24" s="7"/>
      <c r="I24" s="7">
        <v>39585</v>
      </c>
      <c r="J24" s="7">
        <v>1932</v>
      </c>
      <c r="K24" s="7"/>
      <c r="L24" s="7">
        <v>769028</v>
      </c>
      <c r="N24">
        <f>(B24*Emissionsfaktorer!B$2+D24*Emissionsfaktorer!B$4+E24*Emissionsfaktorer!B$5)*0.041872</f>
        <v>2295.1030960479998</v>
      </c>
    </row>
    <row r="25" spans="1:14" x14ac:dyDescent="0.35">
      <c r="A25" t="s">
        <v>86</v>
      </c>
      <c r="B25" s="7">
        <v>8</v>
      </c>
      <c r="C25" s="7"/>
      <c r="D25" s="7">
        <v>23761</v>
      </c>
      <c r="E25" s="7">
        <v>134746</v>
      </c>
      <c r="F25" s="7"/>
      <c r="G25" s="7"/>
      <c r="H25" s="7">
        <v>1923</v>
      </c>
      <c r="I25" s="7">
        <v>21968</v>
      </c>
      <c r="J25" s="7">
        <v>147125</v>
      </c>
      <c r="K25" s="7"/>
      <c r="L25" s="7">
        <v>329531</v>
      </c>
      <c r="N25">
        <f>(B25*Emissionsfaktorer!B$2+D25*Emissionsfaktorer!B$4+E25*Emissionsfaktorer!B$5)*0.041872</f>
        <v>397.244604896</v>
      </c>
    </row>
    <row r="26" spans="1:14" x14ac:dyDescent="0.35">
      <c r="A26" t="s">
        <v>88</v>
      </c>
      <c r="B26" s="7">
        <v>426</v>
      </c>
      <c r="C26" s="7"/>
      <c r="D26" s="7">
        <v>14665</v>
      </c>
      <c r="E26" s="7">
        <v>95381</v>
      </c>
      <c r="F26" s="7"/>
      <c r="G26" s="7"/>
      <c r="H26" s="7">
        <v>1883</v>
      </c>
      <c r="I26" s="7">
        <v>2415</v>
      </c>
      <c r="J26" s="7">
        <v>134065</v>
      </c>
      <c r="K26" s="7">
        <v>1336</v>
      </c>
      <c r="L26" s="7">
        <v>250172</v>
      </c>
      <c r="N26">
        <f>(B26*Emissionsfaktorer!B$2+D26*Emissionsfaktorer!B$4+E26*Emissionsfaktorer!B$5)*0.041872</f>
        <v>276.00879294400005</v>
      </c>
    </row>
    <row r="27" spans="1:14" x14ac:dyDescent="0.35">
      <c r="A27" t="s">
        <v>90</v>
      </c>
      <c r="B27" s="7"/>
      <c r="C27" s="7"/>
      <c r="D27" s="7">
        <v>23392</v>
      </c>
      <c r="E27" s="7">
        <v>2447</v>
      </c>
      <c r="F27" s="7"/>
      <c r="G27" s="7"/>
      <c r="H27" s="7"/>
      <c r="I27" s="7">
        <v>1450</v>
      </c>
      <c r="J27" s="7">
        <v>6029</v>
      </c>
      <c r="K27" s="7"/>
      <c r="L27" s="7">
        <v>33318</v>
      </c>
      <c r="N27">
        <f>(B27*Emissionsfaktorer!B$2+D27*Emissionsfaktorer!B$4+E27*Emissionsfaktorer!B$5)*0.041872</f>
        <v>80.279971312000001</v>
      </c>
    </row>
    <row r="28" spans="1:14" x14ac:dyDescent="0.35">
      <c r="A28" t="s">
        <v>92</v>
      </c>
      <c r="B28" s="7">
        <v>1</v>
      </c>
      <c r="C28" s="7"/>
      <c r="D28" s="7">
        <v>237</v>
      </c>
      <c r="E28" s="7">
        <v>2</v>
      </c>
      <c r="F28" s="7"/>
      <c r="G28" s="7"/>
      <c r="H28" s="7"/>
      <c r="I28" s="7"/>
      <c r="J28" s="7">
        <v>11</v>
      </c>
      <c r="K28" s="7"/>
      <c r="L28" s="7">
        <v>251</v>
      </c>
      <c r="N28">
        <f>(B28*Emissionsfaktorer!B$2+D28*Emissionsfaktorer!B$4+E28*Emissionsfaktorer!B$5)*0.041872</f>
        <v>0.76294971199999995</v>
      </c>
    </row>
    <row r="29" spans="1:14" x14ac:dyDescent="0.35">
      <c r="A29" t="s">
        <v>94</v>
      </c>
      <c r="B29" s="7"/>
      <c r="C29" s="7"/>
      <c r="D29" s="7"/>
      <c r="E29" s="7"/>
      <c r="F29" s="7"/>
      <c r="G29" s="7"/>
      <c r="H29" s="7">
        <v>102</v>
      </c>
      <c r="I29" s="7"/>
      <c r="J29" s="7">
        <v>23062</v>
      </c>
      <c r="K29" s="7">
        <v>20</v>
      </c>
      <c r="L29" s="7">
        <v>23183</v>
      </c>
      <c r="N29">
        <f>(B29*Emissionsfaktorer!B$2+D29*Emissionsfaktorer!B$4+E29*Emissionsfaktorer!B$5)*0.041872</f>
        <v>0</v>
      </c>
    </row>
    <row r="30" spans="1:14" x14ac:dyDescent="0.35">
      <c r="A30" t="s">
        <v>236</v>
      </c>
      <c r="B30" s="7">
        <v>197</v>
      </c>
      <c r="C30" s="7">
        <v>5696</v>
      </c>
      <c r="D30" s="7">
        <v>142851</v>
      </c>
      <c r="E30" s="7">
        <v>28342</v>
      </c>
      <c r="F30" s="7"/>
      <c r="G30" s="7"/>
      <c r="H30" s="7"/>
      <c r="I30" s="7"/>
      <c r="J30" s="7"/>
      <c r="K30" s="7"/>
      <c r="L30" s="7">
        <v>177086</v>
      </c>
      <c r="N30">
        <f>(B30*Emissionsfaktorer!B$2+D30*Emissionsfaktorer!B$4+E30*Emissionsfaktorer!B$5)*0.041872</f>
        <v>523.01833671999998</v>
      </c>
    </row>
    <row r="31" spans="1:14" x14ac:dyDescent="0.35">
      <c r="N31">
        <f>(B31*Emissionsfaktorer!B$2+D31*Emissionsfaktorer!B$4+E31*Emissionsfaktorer!B$5)*0.041872*-1</f>
        <v>0</v>
      </c>
    </row>
    <row r="32" spans="1:14" x14ac:dyDescent="0.35">
      <c r="B32" s="7">
        <f>SUM(B9,B10:B21,B22*-1)</f>
        <v>-1</v>
      </c>
      <c r="C32" s="7">
        <f t="shared" ref="C32:L32" si="0">SUM(C9,C10:C21,C22*-1)</f>
        <v>0</v>
      </c>
      <c r="D32" s="7">
        <f t="shared" si="0"/>
        <v>0</v>
      </c>
      <c r="E32" s="7">
        <f t="shared" si="0"/>
        <v>0</v>
      </c>
      <c r="F32" s="7">
        <f t="shared" si="0"/>
        <v>0</v>
      </c>
      <c r="G32" s="7">
        <f t="shared" si="0"/>
        <v>0</v>
      </c>
      <c r="H32" s="7">
        <f t="shared" si="0"/>
        <v>-1</v>
      </c>
      <c r="I32" s="7">
        <f t="shared" si="0"/>
        <v>0</v>
      </c>
      <c r="J32" s="7">
        <f t="shared" si="0"/>
        <v>0</v>
      </c>
      <c r="K32" s="7">
        <f t="shared" si="0"/>
        <v>0</v>
      </c>
      <c r="L32" s="7">
        <f t="shared" si="0"/>
        <v>-2</v>
      </c>
    </row>
  </sheetData>
  <pageMargins left="0.7" right="0.7" top="0.75" bottom="0.75" header="0.3" footer="0.3"/>
  <pageSetup paperSize="9" orientation="portrait" horizontalDpi="4294967293" verticalDpi="4294967293" r:id="rId1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sheetPr codeName="Ark88"/>
  <dimension ref="A2:B8"/>
  <sheetViews>
    <sheetView workbookViewId="0">
      <selection activeCell="G15" sqref="G15"/>
    </sheetView>
  </sheetViews>
  <sheetFormatPr defaultRowHeight="14.5" x14ac:dyDescent="0.35"/>
  <cols>
    <col min="1" max="1" width="22.1796875" customWidth="1"/>
    <col min="2" max="2" width="12.1796875" customWidth="1"/>
  </cols>
  <sheetData>
    <row r="2" spans="1:2" x14ac:dyDescent="0.35">
      <c r="A2" t="s">
        <v>274</v>
      </c>
      <c r="B2" t="s">
        <v>275</v>
      </c>
    </row>
    <row r="3" spans="1:2" x14ac:dyDescent="0.35">
      <c r="A3" t="s">
        <v>276</v>
      </c>
      <c r="B3" t="s">
        <v>277</v>
      </c>
    </row>
    <row r="4" spans="1:2" x14ac:dyDescent="0.35">
      <c r="A4" t="s">
        <v>278</v>
      </c>
      <c r="B4" t="s">
        <v>279</v>
      </c>
    </row>
    <row r="5" spans="1:2" x14ac:dyDescent="0.35">
      <c r="A5" t="s">
        <v>280</v>
      </c>
      <c r="B5" t="s">
        <v>281</v>
      </c>
    </row>
    <row r="6" spans="1:2" x14ac:dyDescent="0.35">
      <c r="A6" t="s">
        <v>282</v>
      </c>
      <c r="B6" t="s">
        <v>283</v>
      </c>
    </row>
    <row r="7" spans="1:2" x14ac:dyDescent="0.35">
      <c r="A7" t="s">
        <v>284</v>
      </c>
      <c r="B7" s="7"/>
    </row>
    <row r="8" spans="1:2" x14ac:dyDescent="0.35">
      <c r="A8" t="s">
        <v>285</v>
      </c>
      <c r="B8" s="7"/>
    </row>
  </sheetData>
  <pageMargins left="0.7" right="0.7" top="0.75" bottom="0.75" header="0.3" footer="0.3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sheetPr codeName="Ark89"/>
  <dimension ref="A1:B13"/>
  <sheetViews>
    <sheetView workbookViewId="0">
      <selection activeCell="K30" sqref="K30"/>
    </sheetView>
  </sheetViews>
  <sheetFormatPr defaultRowHeight="14.5" x14ac:dyDescent="0.35"/>
  <cols>
    <col min="1" max="1" width="34.453125" customWidth="1"/>
    <col min="2" max="2" width="13.453125" customWidth="1"/>
  </cols>
  <sheetData>
    <row r="1" spans="1:2" x14ac:dyDescent="0.35">
      <c r="B1" t="s">
        <v>286</v>
      </c>
    </row>
    <row r="2" spans="1:2" x14ac:dyDescent="0.35">
      <c r="A2" t="s">
        <v>1</v>
      </c>
      <c r="B2">
        <v>9.5000000000000001E-2</v>
      </c>
    </row>
    <row r="3" spans="1:2" x14ac:dyDescent="0.35">
      <c r="A3" t="s">
        <v>287</v>
      </c>
      <c r="B3">
        <v>0</v>
      </c>
    </row>
    <row r="4" spans="1:2" x14ac:dyDescent="0.35">
      <c r="A4" t="s">
        <v>215</v>
      </c>
      <c r="B4">
        <v>7.5999999999999998E-2</v>
      </c>
    </row>
    <row r="5" spans="1:2" x14ac:dyDescent="0.35">
      <c r="A5" t="s">
        <v>4</v>
      </c>
      <c r="B5">
        <v>5.7000000000000002E-2</v>
      </c>
    </row>
    <row r="6" spans="1:2" x14ac:dyDescent="0.35">
      <c r="A6" t="s">
        <v>5</v>
      </c>
      <c r="B6">
        <v>0</v>
      </c>
    </row>
    <row r="7" spans="1:2" x14ac:dyDescent="0.35">
      <c r="A7" t="s">
        <v>6</v>
      </c>
      <c r="B7">
        <v>0</v>
      </c>
    </row>
    <row r="8" spans="1:2" x14ac:dyDescent="0.35">
      <c r="A8" t="s">
        <v>288</v>
      </c>
      <c r="B8">
        <v>0</v>
      </c>
    </row>
    <row r="9" spans="1:2" x14ac:dyDescent="0.35">
      <c r="A9" t="s">
        <v>289</v>
      </c>
      <c r="B9">
        <v>0</v>
      </c>
    </row>
    <row r="10" spans="1:2" x14ac:dyDescent="0.35">
      <c r="A10" t="s">
        <v>9</v>
      </c>
      <c r="B10">
        <v>0</v>
      </c>
    </row>
    <row r="11" spans="1:2" x14ac:dyDescent="0.35">
      <c r="A11" t="s">
        <v>10</v>
      </c>
      <c r="B11">
        <v>0</v>
      </c>
    </row>
    <row r="12" spans="1:2" x14ac:dyDescent="0.35">
      <c r="A12" t="s">
        <v>11</v>
      </c>
      <c r="B12">
        <v>0</v>
      </c>
    </row>
    <row r="13" spans="1:2" x14ac:dyDescent="0.35">
      <c r="A13" t="s">
        <v>290</v>
      </c>
      <c r="B13">
        <v>0.1</v>
      </c>
    </row>
  </sheetData>
  <pageMargins left="0.7" right="0.7" top="0.75" bottom="0.75" header="0.3" footer="0.3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sheetPr codeName="Ark90"/>
  <dimension ref="A3:E27"/>
  <sheetViews>
    <sheetView workbookViewId="0">
      <selection activeCell="L23" sqref="L23"/>
    </sheetView>
  </sheetViews>
  <sheetFormatPr defaultRowHeight="14.5" x14ac:dyDescent="0.35"/>
  <cols>
    <col min="1" max="1" width="50.26953125" customWidth="1"/>
    <col min="2" max="2" width="10.7265625" customWidth="1"/>
    <col min="3" max="3" width="13.1796875" customWidth="1"/>
    <col min="4" max="4" width="14.54296875" customWidth="1"/>
    <col min="5" max="5" width="17.1796875" customWidth="1"/>
  </cols>
  <sheetData>
    <row r="3" spans="1:5" x14ac:dyDescent="0.35">
      <c r="A3" t="s">
        <v>291</v>
      </c>
    </row>
    <row r="4" spans="1:5" x14ac:dyDescent="0.35">
      <c r="B4" s="114" t="s">
        <v>292</v>
      </c>
      <c r="C4" s="114" t="s">
        <v>293</v>
      </c>
      <c r="D4" t="s">
        <v>294</v>
      </c>
      <c r="E4" t="s">
        <v>295</v>
      </c>
    </row>
    <row r="5" spans="1:5" x14ac:dyDescent="0.35">
      <c r="A5" t="s">
        <v>296</v>
      </c>
      <c r="B5">
        <v>50</v>
      </c>
      <c r="D5">
        <v>1</v>
      </c>
      <c r="E5">
        <f>(C5)/(B5-D5*4)</f>
        <v>0</v>
      </c>
    </row>
    <row r="6" spans="1:5" x14ac:dyDescent="0.35">
      <c r="A6" t="s">
        <v>297</v>
      </c>
      <c r="B6">
        <v>14</v>
      </c>
      <c r="C6" s="7"/>
      <c r="E6">
        <f t="shared" ref="E6:E15" si="0">(C6)/(B6-D6*4)</f>
        <v>0</v>
      </c>
    </row>
    <row r="7" spans="1:5" x14ac:dyDescent="0.35">
      <c r="A7" t="s">
        <v>298</v>
      </c>
      <c r="B7">
        <v>60</v>
      </c>
      <c r="D7">
        <v>5</v>
      </c>
      <c r="E7">
        <f t="shared" si="0"/>
        <v>0</v>
      </c>
    </row>
    <row r="8" spans="1:5" x14ac:dyDescent="0.35">
      <c r="A8" t="s">
        <v>299</v>
      </c>
      <c r="B8">
        <v>50</v>
      </c>
      <c r="C8" s="7"/>
      <c r="D8">
        <v>5</v>
      </c>
      <c r="E8">
        <f t="shared" si="0"/>
        <v>0</v>
      </c>
    </row>
    <row r="9" spans="1:5" x14ac:dyDescent="0.35">
      <c r="A9" t="s">
        <v>300</v>
      </c>
      <c r="B9">
        <v>5</v>
      </c>
      <c r="E9">
        <f t="shared" si="0"/>
        <v>0</v>
      </c>
    </row>
    <row r="10" spans="1:5" x14ac:dyDescent="0.35">
      <c r="A10" t="s">
        <v>301</v>
      </c>
      <c r="B10">
        <v>50</v>
      </c>
      <c r="E10">
        <f t="shared" si="0"/>
        <v>0</v>
      </c>
    </row>
    <row r="11" spans="1:5" x14ac:dyDescent="0.35">
      <c r="A11" t="s">
        <v>302</v>
      </c>
      <c r="B11">
        <v>10</v>
      </c>
      <c r="C11" s="7"/>
      <c r="E11">
        <f t="shared" si="0"/>
        <v>0</v>
      </c>
    </row>
    <row r="12" spans="1:5" x14ac:dyDescent="0.35">
      <c r="A12" t="s">
        <v>303</v>
      </c>
      <c r="B12">
        <v>60</v>
      </c>
      <c r="D12">
        <v>5</v>
      </c>
      <c r="E12">
        <f t="shared" si="0"/>
        <v>0</v>
      </c>
    </row>
    <row r="13" spans="1:5" x14ac:dyDescent="0.35">
      <c r="A13" t="s">
        <v>304</v>
      </c>
      <c r="B13">
        <v>24</v>
      </c>
      <c r="C13" s="7"/>
      <c r="E13">
        <f t="shared" si="0"/>
        <v>0</v>
      </c>
    </row>
    <row r="14" spans="1:5" x14ac:dyDescent="0.35">
      <c r="A14" t="s">
        <v>305</v>
      </c>
      <c r="B14">
        <v>24</v>
      </c>
      <c r="C14" s="75"/>
      <c r="E14">
        <f t="shared" si="0"/>
        <v>0</v>
      </c>
    </row>
    <row r="15" spans="1:5" x14ac:dyDescent="0.35">
      <c r="A15" t="s">
        <v>306</v>
      </c>
      <c r="B15">
        <v>7.6</v>
      </c>
      <c r="C15" s="7"/>
      <c r="E15">
        <f t="shared" si="0"/>
        <v>0</v>
      </c>
    </row>
    <row r="18" spans="1:5" x14ac:dyDescent="0.35">
      <c r="A18" t="s">
        <v>307</v>
      </c>
      <c r="B18">
        <v>60</v>
      </c>
      <c r="D18">
        <v>4</v>
      </c>
      <c r="E18">
        <f>(C18)/(B18-D18*10)</f>
        <v>0</v>
      </c>
    </row>
    <row r="19" spans="1:5" x14ac:dyDescent="0.35">
      <c r="A19" t="s">
        <v>308</v>
      </c>
      <c r="B19">
        <v>25</v>
      </c>
      <c r="C19" s="7"/>
      <c r="E19">
        <f t="shared" ref="E19:E27" si="1">(C19)/(B19-D19*10)</f>
        <v>0</v>
      </c>
    </row>
    <row r="20" spans="1:5" x14ac:dyDescent="0.35">
      <c r="A20" t="s">
        <v>309</v>
      </c>
      <c r="B20">
        <v>60</v>
      </c>
      <c r="D20">
        <v>3</v>
      </c>
      <c r="E20">
        <f t="shared" si="1"/>
        <v>0</v>
      </c>
    </row>
    <row r="21" spans="1:5" x14ac:dyDescent="0.35">
      <c r="A21" t="s">
        <v>310</v>
      </c>
      <c r="B21">
        <v>25</v>
      </c>
      <c r="C21" s="7"/>
      <c r="E21">
        <f t="shared" si="1"/>
        <v>0</v>
      </c>
    </row>
    <row r="22" spans="1:5" x14ac:dyDescent="0.35">
      <c r="A22" t="s">
        <v>311</v>
      </c>
      <c r="B22">
        <v>60</v>
      </c>
      <c r="D22">
        <v>4</v>
      </c>
      <c r="E22">
        <f t="shared" si="1"/>
        <v>0</v>
      </c>
    </row>
    <row r="23" spans="1:5" x14ac:dyDescent="0.35">
      <c r="A23" t="s">
        <v>312</v>
      </c>
      <c r="B23">
        <v>25</v>
      </c>
      <c r="C23" s="75"/>
      <c r="E23">
        <f t="shared" si="1"/>
        <v>0</v>
      </c>
    </row>
    <row r="24" spans="1:5" x14ac:dyDescent="0.35">
      <c r="A24" t="s">
        <v>313</v>
      </c>
      <c r="B24">
        <v>50</v>
      </c>
      <c r="D24">
        <v>2</v>
      </c>
      <c r="E24">
        <f t="shared" si="1"/>
        <v>0</v>
      </c>
    </row>
    <row r="25" spans="1:5" x14ac:dyDescent="0.35">
      <c r="A25" t="s">
        <v>314</v>
      </c>
      <c r="B25">
        <v>25</v>
      </c>
      <c r="E25">
        <f t="shared" si="1"/>
        <v>0</v>
      </c>
    </row>
    <row r="26" spans="1:5" x14ac:dyDescent="0.35">
      <c r="A26" t="s">
        <v>315</v>
      </c>
      <c r="B26">
        <v>50</v>
      </c>
      <c r="D26">
        <v>2</v>
      </c>
      <c r="E26">
        <f t="shared" si="1"/>
        <v>0</v>
      </c>
    </row>
    <row r="27" spans="1:5" x14ac:dyDescent="0.35">
      <c r="A27" t="s">
        <v>316</v>
      </c>
      <c r="B27">
        <v>25</v>
      </c>
      <c r="E27">
        <f t="shared" si="1"/>
        <v>0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L32"/>
  <sheetViews>
    <sheetView zoomScale="66" zoomScaleNormal="66" workbookViewId="0">
      <selection activeCell="A3" sqref="A3:L30"/>
    </sheetView>
  </sheetViews>
  <sheetFormatPr defaultRowHeight="14.5" x14ac:dyDescent="0.35"/>
  <cols>
    <col min="1" max="1" width="36.54296875" customWidth="1"/>
    <col min="2" max="2" width="14.26953125" customWidth="1"/>
    <col min="3" max="3" width="14.1796875" customWidth="1"/>
    <col min="4" max="4" width="15" customWidth="1"/>
    <col min="5" max="5" width="13.453125" customWidth="1"/>
    <col min="6" max="6" width="13.7265625" customWidth="1"/>
    <col min="7" max="7" width="14.26953125" customWidth="1"/>
    <col min="8" max="8" width="26.26953125" customWidth="1"/>
    <col min="9" max="9" width="20.453125" customWidth="1"/>
    <col min="10" max="10" width="10.7265625" customWidth="1"/>
    <col min="11" max="11" width="12.81640625" customWidth="1"/>
    <col min="12" max="12" width="17.54296875" customWidth="1"/>
  </cols>
  <sheetData>
    <row r="1" spans="1:12" ht="30.75" customHeight="1" x14ac:dyDescent="0.35">
      <c r="B1" t="s">
        <v>214</v>
      </c>
      <c r="C1" t="s">
        <v>2</v>
      </c>
      <c r="D1" t="s">
        <v>215</v>
      </c>
      <c r="E1" t="s">
        <v>216</v>
      </c>
      <c r="F1" t="s">
        <v>5</v>
      </c>
      <c r="G1" t="s">
        <v>6</v>
      </c>
      <c r="H1" t="s">
        <v>217</v>
      </c>
      <c r="I1" t="s">
        <v>8</v>
      </c>
      <c r="J1" t="s">
        <v>9</v>
      </c>
      <c r="K1" t="s">
        <v>10</v>
      </c>
      <c r="L1" t="s">
        <v>218</v>
      </c>
    </row>
    <row r="2" spans="1:12" x14ac:dyDescent="0.35">
      <c r="B2" t="s">
        <v>219</v>
      </c>
      <c r="C2" t="s">
        <v>219</v>
      </c>
      <c r="D2" t="s">
        <v>219</v>
      </c>
      <c r="E2" t="s">
        <v>219</v>
      </c>
      <c r="F2" t="s">
        <v>219</v>
      </c>
      <c r="G2" t="s">
        <v>219</v>
      </c>
      <c r="H2" t="s">
        <v>219</v>
      </c>
      <c r="I2" t="s">
        <v>219</v>
      </c>
      <c r="J2" t="s">
        <v>219</v>
      </c>
      <c r="K2" t="s">
        <v>219</v>
      </c>
      <c r="L2" t="s">
        <v>219</v>
      </c>
    </row>
    <row r="3" spans="1:12" x14ac:dyDescent="0.35">
      <c r="A3" t="s">
        <v>17</v>
      </c>
      <c r="B3" s="7">
        <v>3662889</v>
      </c>
      <c r="C3" s="7">
        <v>4093272</v>
      </c>
      <c r="D3" s="7"/>
      <c r="E3" s="7">
        <v>2715919</v>
      </c>
      <c r="F3" s="7">
        <v>718713</v>
      </c>
      <c r="G3" s="7">
        <v>296474</v>
      </c>
      <c r="H3" s="7">
        <v>110200</v>
      </c>
      <c r="I3" s="7">
        <v>1202478</v>
      </c>
      <c r="J3" s="7"/>
      <c r="K3" s="7">
        <v>1131</v>
      </c>
      <c r="L3" s="7">
        <v>12801076</v>
      </c>
    </row>
    <row r="4" spans="1:12" x14ac:dyDescent="0.35">
      <c r="A4" t="s">
        <v>220</v>
      </c>
      <c r="B4" s="7">
        <v>668702</v>
      </c>
      <c r="C4" s="7">
        <v>2281341</v>
      </c>
      <c r="D4" s="7">
        <v>1112353</v>
      </c>
      <c r="E4" s="7">
        <v>822855</v>
      </c>
      <c r="F4" s="7"/>
      <c r="G4" s="7"/>
      <c r="H4" s="7"/>
      <c r="I4" s="7">
        <v>14334</v>
      </c>
      <c r="J4" s="7">
        <v>50597</v>
      </c>
      <c r="K4" s="7">
        <v>5</v>
      </c>
      <c r="L4" s="7">
        <v>4950187</v>
      </c>
    </row>
    <row r="5" spans="1:12" x14ac:dyDescent="0.35">
      <c r="A5" t="s">
        <v>221</v>
      </c>
      <c r="B5" s="7">
        <v>-679282</v>
      </c>
      <c r="C5" s="7">
        <v>-2180182</v>
      </c>
      <c r="D5" s="7">
        <v>-1156247</v>
      </c>
      <c r="E5" s="7">
        <v>-820361</v>
      </c>
      <c r="F5" s="7"/>
      <c r="G5" s="7"/>
      <c r="H5" s="7"/>
      <c r="I5" s="7">
        <v>-10805</v>
      </c>
      <c r="J5" s="7">
        <v>-50820</v>
      </c>
      <c r="K5" s="7">
        <v>-9</v>
      </c>
      <c r="L5" s="7">
        <v>-4897705</v>
      </c>
    </row>
    <row r="6" spans="1:12" x14ac:dyDescent="0.35">
      <c r="A6" t="s">
        <v>222</v>
      </c>
      <c r="B6" s="7"/>
      <c r="C6" s="7"/>
      <c r="D6" s="7"/>
      <c r="E6" s="7"/>
      <c r="F6" s="7"/>
      <c r="G6" s="7"/>
      <c r="H6" s="7"/>
      <c r="I6" s="7"/>
      <c r="J6" s="7"/>
      <c r="K6" s="7"/>
      <c r="L6" s="7"/>
    </row>
    <row r="7" spans="1:12" x14ac:dyDescent="0.35">
      <c r="A7" t="s">
        <v>223</v>
      </c>
      <c r="B7" s="7"/>
      <c r="C7" s="7"/>
      <c r="D7" s="7"/>
      <c r="E7" s="7"/>
      <c r="F7" s="7"/>
      <c r="G7" s="7"/>
      <c r="H7" s="7"/>
      <c r="I7" s="7"/>
      <c r="J7" s="7"/>
      <c r="K7" s="7"/>
      <c r="L7" s="7"/>
    </row>
    <row r="8" spans="1:12" x14ac:dyDescent="0.35">
      <c r="A8" t="s">
        <v>224</v>
      </c>
      <c r="B8" s="7">
        <v>-2511</v>
      </c>
      <c r="C8" s="7">
        <v>-23606</v>
      </c>
      <c r="D8" s="7">
        <v>429</v>
      </c>
      <c r="E8" s="7">
        <v>17538</v>
      </c>
      <c r="F8" s="7"/>
      <c r="G8" s="7"/>
      <c r="H8" s="7"/>
      <c r="I8" s="7">
        <v>-721</v>
      </c>
      <c r="J8" s="7"/>
      <c r="K8" s="7"/>
      <c r="L8" s="7">
        <v>-8871</v>
      </c>
    </row>
    <row r="9" spans="1:12" x14ac:dyDescent="0.35">
      <c r="A9" t="s">
        <v>225</v>
      </c>
      <c r="B9" s="7">
        <v>3649798</v>
      </c>
      <c r="C9" s="7">
        <v>4170825</v>
      </c>
      <c r="D9" s="7">
        <v>-43465</v>
      </c>
      <c r="E9" s="7">
        <v>2735952</v>
      </c>
      <c r="F9" s="7">
        <v>718713</v>
      </c>
      <c r="G9" s="7">
        <v>296474</v>
      </c>
      <c r="H9" s="7">
        <v>110200</v>
      </c>
      <c r="I9" s="7">
        <v>1205287</v>
      </c>
      <c r="J9" s="7">
        <v>-223</v>
      </c>
      <c r="K9" s="7">
        <v>1127</v>
      </c>
      <c r="L9" s="7">
        <v>12844687</v>
      </c>
    </row>
    <row r="10" spans="1:12" x14ac:dyDescent="0.35">
      <c r="A10" t="s">
        <v>226</v>
      </c>
      <c r="B10" s="7">
        <v>-354</v>
      </c>
      <c r="C10" s="7">
        <v>-161259</v>
      </c>
      <c r="D10" s="7">
        <v>182472</v>
      </c>
      <c r="E10" s="7"/>
      <c r="F10" s="7"/>
      <c r="G10" s="7"/>
      <c r="H10" s="7"/>
      <c r="I10" s="7">
        <v>-47</v>
      </c>
      <c r="J10" s="7"/>
      <c r="K10" s="7"/>
      <c r="L10" s="7">
        <v>20811</v>
      </c>
    </row>
    <row r="11" spans="1:12" x14ac:dyDescent="0.35">
      <c r="A11" t="s">
        <v>227</v>
      </c>
      <c r="B11" s="7">
        <v>-44766</v>
      </c>
      <c r="C11" s="7">
        <v>-1664</v>
      </c>
      <c r="D11" s="7">
        <v>-13165</v>
      </c>
      <c r="E11" s="7">
        <v>9920</v>
      </c>
      <c r="F11" s="7"/>
      <c r="G11" s="7"/>
      <c r="H11" s="7">
        <v>2</v>
      </c>
      <c r="I11" s="7">
        <v>-3341</v>
      </c>
      <c r="J11" s="7">
        <v>-3722</v>
      </c>
      <c r="K11" s="7">
        <v>-1644</v>
      </c>
      <c r="L11" s="7">
        <v>-58379</v>
      </c>
    </row>
    <row r="12" spans="1:12" x14ac:dyDescent="0.35">
      <c r="A12" t="s">
        <v>228</v>
      </c>
      <c r="B12" s="7">
        <v>-1584680</v>
      </c>
      <c r="C12" s="7">
        <v>-34079</v>
      </c>
      <c r="D12" s="7">
        <v>-193731</v>
      </c>
      <c r="E12" s="7">
        <v>-708920</v>
      </c>
      <c r="F12" s="7">
        <v>-711321</v>
      </c>
      <c r="G12" s="7">
        <v>-296474</v>
      </c>
      <c r="H12" s="7">
        <v>-85857</v>
      </c>
      <c r="I12" s="7">
        <v>-66891</v>
      </c>
      <c r="J12" s="7">
        <v>1549052</v>
      </c>
      <c r="K12" s="7">
        <v>-569</v>
      </c>
      <c r="L12" s="7">
        <v>-2133470</v>
      </c>
    </row>
    <row r="13" spans="1:12" x14ac:dyDescent="0.35">
      <c r="A13" t="s">
        <v>66</v>
      </c>
      <c r="B13" s="7">
        <v>-559582</v>
      </c>
      <c r="C13" s="7">
        <v>-11</v>
      </c>
      <c r="D13" s="7">
        <v>-21468</v>
      </c>
      <c r="E13" s="7">
        <v>-317608</v>
      </c>
      <c r="F13" s="7">
        <v>-7392</v>
      </c>
      <c r="G13" s="7"/>
      <c r="H13" s="7">
        <v>-2045</v>
      </c>
      <c r="I13" s="7">
        <v>-43061</v>
      </c>
      <c r="J13" s="7">
        <v>301667</v>
      </c>
      <c r="K13" s="7">
        <v>212271</v>
      </c>
      <c r="L13" s="7">
        <v>-437228</v>
      </c>
    </row>
    <row r="14" spans="1:12" x14ac:dyDescent="0.35">
      <c r="A14" t="s">
        <v>229</v>
      </c>
      <c r="B14" s="7">
        <v>-27185</v>
      </c>
      <c r="C14" s="7">
        <v>-809</v>
      </c>
      <c r="D14" s="7">
        <v>-15188</v>
      </c>
      <c r="E14" s="7">
        <v>-87033</v>
      </c>
      <c r="F14" s="7"/>
      <c r="G14" s="7"/>
      <c r="H14" s="7">
        <v>-882</v>
      </c>
      <c r="I14" s="7">
        <v>-10736</v>
      </c>
      <c r="J14" s="7">
        <v>-350</v>
      </c>
      <c r="K14" s="7">
        <v>126560</v>
      </c>
      <c r="L14" s="7">
        <v>-15623</v>
      </c>
    </row>
    <row r="15" spans="1:12" x14ac:dyDescent="0.35">
      <c r="A15" t="s">
        <v>230</v>
      </c>
      <c r="B15" s="7">
        <v>-4456</v>
      </c>
      <c r="C15" s="7"/>
      <c r="D15" s="7">
        <v>-2995</v>
      </c>
      <c r="E15" s="7">
        <v>3742</v>
      </c>
      <c r="F15" s="7"/>
      <c r="G15" s="7"/>
      <c r="H15" s="7"/>
      <c r="I15" s="7">
        <v>-35</v>
      </c>
      <c r="J15" s="7"/>
      <c r="K15" s="7"/>
      <c r="L15" s="7">
        <v>-3743</v>
      </c>
    </row>
    <row r="16" spans="1:12" x14ac:dyDescent="0.35">
      <c r="A16" t="s">
        <v>70</v>
      </c>
      <c r="B16" s="7"/>
      <c r="C16" s="7">
        <v>-3976717</v>
      </c>
      <c r="D16" s="7">
        <v>3937994</v>
      </c>
      <c r="E16" s="7"/>
      <c r="F16" s="7"/>
      <c r="G16" s="7"/>
      <c r="H16" s="7"/>
      <c r="I16" s="7"/>
      <c r="J16" s="7"/>
      <c r="K16" s="7"/>
      <c r="L16" s="7">
        <v>-38723</v>
      </c>
    </row>
    <row r="17" spans="1:12" x14ac:dyDescent="0.35">
      <c r="A17" t="s">
        <v>231</v>
      </c>
      <c r="B17" s="7">
        <v>-245086</v>
      </c>
      <c r="C17" s="7"/>
      <c r="D17" s="7">
        <v>-3334</v>
      </c>
      <c r="E17" s="7">
        <v>-54</v>
      </c>
      <c r="F17" s="7"/>
      <c r="G17" s="7"/>
      <c r="H17" s="7"/>
      <c r="I17" s="7">
        <v>-27</v>
      </c>
      <c r="J17" s="7"/>
      <c r="K17" s="7"/>
      <c r="L17" s="7">
        <v>-248502</v>
      </c>
    </row>
    <row r="18" spans="1:12" x14ac:dyDescent="0.35">
      <c r="A18" t="s">
        <v>232</v>
      </c>
      <c r="B18" s="7">
        <v>-7206</v>
      </c>
      <c r="C18" s="7">
        <v>7030</v>
      </c>
      <c r="D18" s="7"/>
      <c r="E18" s="7">
        <v>-6854</v>
      </c>
      <c r="F18" s="7"/>
      <c r="G18" s="7"/>
      <c r="H18" s="7"/>
      <c r="I18" s="7"/>
      <c r="J18" s="7"/>
      <c r="K18" s="7"/>
      <c r="L18" s="7">
        <v>-7030</v>
      </c>
    </row>
    <row r="19" spans="1:12" x14ac:dyDescent="0.35">
      <c r="A19" t="s">
        <v>233</v>
      </c>
      <c r="B19" s="7">
        <v>-209</v>
      </c>
      <c r="C19" s="7">
        <v>36200</v>
      </c>
      <c r="D19" s="7">
        <v>-33157</v>
      </c>
      <c r="E19" s="7">
        <v>-5647</v>
      </c>
      <c r="F19" s="7"/>
      <c r="G19" s="7"/>
      <c r="H19" s="7"/>
      <c r="I19" s="7">
        <v>-65131</v>
      </c>
      <c r="J19" s="7"/>
      <c r="K19" s="7">
        <v>-369</v>
      </c>
      <c r="L19" s="7">
        <v>-68314</v>
      </c>
    </row>
    <row r="20" spans="1:12" x14ac:dyDescent="0.35">
      <c r="A20" t="s">
        <v>234</v>
      </c>
      <c r="B20" s="7">
        <v>-114346</v>
      </c>
      <c r="C20" s="7">
        <v>-9417</v>
      </c>
      <c r="D20" s="7">
        <v>-218432</v>
      </c>
      <c r="E20" s="7">
        <v>-252290</v>
      </c>
      <c r="F20" s="7"/>
      <c r="G20" s="7"/>
      <c r="H20" s="7">
        <v>-2</v>
      </c>
      <c r="I20" s="7">
        <v>-13685</v>
      </c>
      <c r="J20" s="7">
        <v>-157369</v>
      </c>
      <c r="K20" s="7">
        <v>-40376</v>
      </c>
      <c r="L20" s="7">
        <v>-805916</v>
      </c>
    </row>
    <row r="21" spans="1:12" x14ac:dyDescent="0.35">
      <c r="A21" t="s">
        <v>235</v>
      </c>
      <c r="B21" s="7">
        <v>-3451</v>
      </c>
      <c r="C21" s="7">
        <v>-8160</v>
      </c>
      <c r="D21" s="7">
        <v>-771</v>
      </c>
      <c r="E21" s="7">
        <v>-25385</v>
      </c>
      <c r="F21" s="7"/>
      <c r="G21" s="7"/>
      <c r="H21" s="7">
        <v>-10</v>
      </c>
      <c r="I21" s="7">
        <v>-254</v>
      </c>
      <c r="J21" s="7">
        <v>-151058</v>
      </c>
      <c r="K21" s="7">
        <v>-21748</v>
      </c>
      <c r="L21" s="7">
        <v>-210838</v>
      </c>
    </row>
    <row r="22" spans="1:12" x14ac:dyDescent="0.35">
      <c r="A22" t="s">
        <v>131</v>
      </c>
      <c r="B22" s="7">
        <v>1058479</v>
      </c>
      <c r="C22" s="7">
        <v>21939</v>
      </c>
      <c r="D22" s="7">
        <v>3574760</v>
      </c>
      <c r="E22" s="7">
        <v>1345822</v>
      </c>
      <c r="F22" s="7"/>
      <c r="G22" s="7"/>
      <c r="H22" s="7">
        <v>21407</v>
      </c>
      <c r="I22" s="7">
        <v>1002077</v>
      </c>
      <c r="J22" s="7">
        <v>1537998</v>
      </c>
      <c r="K22" s="7">
        <v>275250</v>
      </c>
      <c r="L22" s="7">
        <v>8837731</v>
      </c>
    </row>
    <row r="23" spans="1:12" x14ac:dyDescent="0.35">
      <c r="A23" t="s">
        <v>80</v>
      </c>
      <c r="B23" s="7">
        <v>867087</v>
      </c>
      <c r="C23" s="7">
        <v>9484</v>
      </c>
      <c r="D23" s="7">
        <v>312169</v>
      </c>
      <c r="E23" s="7">
        <v>498985</v>
      </c>
      <c r="F23" s="7"/>
      <c r="G23" s="7"/>
      <c r="H23" s="7">
        <v>470</v>
      </c>
      <c r="I23" s="7">
        <v>184557</v>
      </c>
      <c r="J23" s="7">
        <v>640811</v>
      </c>
      <c r="K23" s="7">
        <v>124484</v>
      </c>
      <c r="L23" s="7">
        <v>2638047</v>
      </c>
    </row>
    <row r="24" spans="1:12" x14ac:dyDescent="0.35">
      <c r="A24" t="s">
        <v>82</v>
      </c>
      <c r="B24" s="7">
        <v>187</v>
      </c>
      <c r="C24" s="7">
        <v>37</v>
      </c>
      <c r="D24" s="7">
        <v>2258498</v>
      </c>
      <c r="E24" s="7">
        <v>89198</v>
      </c>
      <c r="F24" s="7"/>
      <c r="G24" s="7"/>
      <c r="H24" s="7"/>
      <c r="I24" s="7">
        <v>56495</v>
      </c>
      <c r="J24" s="7">
        <v>25364</v>
      </c>
      <c r="K24" s="7"/>
      <c r="L24" s="7">
        <v>2429780</v>
      </c>
    </row>
    <row r="25" spans="1:12" x14ac:dyDescent="0.35">
      <c r="A25" t="s">
        <v>86</v>
      </c>
      <c r="B25" s="7">
        <v>76964</v>
      </c>
      <c r="C25" s="7">
        <v>555</v>
      </c>
      <c r="D25" s="7">
        <v>206906</v>
      </c>
      <c r="E25" s="7">
        <v>429486</v>
      </c>
      <c r="F25" s="7"/>
      <c r="G25" s="7"/>
      <c r="H25" s="7">
        <v>15301</v>
      </c>
      <c r="I25" s="7">
        <v>724580</v>
      </c>
      <c r="J25" s="7">
        <v>427705</v>
      </c>
      <c r="K25" s="7">
        <v>105843</v>
      </c>
      <c r="L25" s="7">
        <v>1987340</v>
      </c>
    </row>
    <row r="26" spans="1:12" x14ac:dyDescent="0.35">
      <c r="A26" t="s">
        <v>88</v>
      </c>
      <c r="B26" s="7">
        <v>32492</v>
      </c>
      <c r="C26" s="7">
        <v>118</v>
      </c>
      <c r="D26" s="7">
        <v>87196</v>
      </c>
      <c r="E26" s="7">
        <v>175420</v>
      </c>
      <c r="F26" s="7"/>
      <c r="G26" s="7"/>
      <c r="H26" s="7">
        <v>4495</v>
      </c>
      <c r="I26" s="7">
        <v>24215</v>
      </c>
      <c r="J26" s="7">
        <v>357798</v>
      </c>
      <c r="K26" s="7">
        <v>35645</v>
      </c>
      <c r="L26" s="7">
        <v>717378</v>
      </c>
    </row>
    <row r="27" spans="1:12" x14ac:dyDescent="0.35">
      <c r="A27" t="s">
        <v>90</v>
      </c>
      <c r="B27" s="7">
        <v>13173</v>
      </c>
      <c r="C27" s="7">
        <v>94</v>
      </c>
      <c r="D27" s="7">
        <v>105203</v>
      </c>
      <c r="E27" s="7">
        <v>8265</v>
      </c>
      <c r="F27" s="7"/>
      <c r="G27" s="7"/>
      <c r="H27" s="7">
        <v>564</v>
      </c>
      <c r="I27" s="7">
        <v>9851</v>
      </c>
      <c r="J27" s="7">
        <v>41578</v>
      </c>
      <c r="K27" s="7">
        <v>4019</v>
      </c>
      <c r="L27" s="7">
        <v>182748</v>
      </c>
    </row>
    <row r="28" spans="1:12" x14ac:dyDescent="0.35">
      <c r="A28" t="s">
        <v>92</v>
      </c>
      <c r="B28" s="7">
        <v>11</v>
      </c>
      <c r="C28" s="7"/>
      <c r="D28" s="7">
        <v>7390</v>
      </c>
      <c r="E28" s="7">
        <v>17</v>
      </c>
      <c r="F28" s="7"/>
      <c r="G28" s="7"/>
      <c r="H28" s="7">
        <v>59</v>
      </c>
      <c r="I28" s="7">
        <v>9</v>
      </c>
      <c r="J28" s="7">
        <v>505</v>
      </c>
      <c r="K28" s="7">
        <v>39</v>
      </c>
      <c r="L28" s="7">
        <v>8031</v>
      </c>
    </row>
    <row r="29" spans="1:12" x14ac:dyDescent="0.35">
      <c r="A29" t="s">
        <v>94</v>
      </c>
      <c r="B29" s="7">
        <v>32543</v>
      </c>
      <c r="C29" s="7">
        <v>18</v>
      </c>
      <c r="D29" s="7">
        <v>20775</v>
      </c>
      <c r="E29" s="7">
        <v>3439</v>
      </c>
      <c r="F29" s="7"/>
      <c r="G29" s="7"/>
      <c r="H29" s="7">
        <v>517</v>
      </c>
      <c r="I29" s="7">
        <v>2369</v>
      </c>
      <c r="J29" s="7">
        <v>44236</v>
      </c>
      <c r="K29" s="7">
        <v>5220</v>
      </c>
      <c r="L29" s="7">
        <v>109118</v>
      </c>
    </row>
    <row r="30" spans="1:12" x14ac:dyDescent="0.35">
      <c r="A30" t="s">
        <v>236</v>
      </c>
      <c r="B30" s="7">
        <v>36021</v>
      </c>
      <c r="C30" s="7">
        <v>11633</v>
      </c>
      <c r="D30" s="7">
        <v>576622</v>
      </c>
      <c r="E30" s="7">
        <v>141013</v>
      </c>
      <c r="F30" s="7"/>
      <c r="G30" s="7"/>
      <c r="H30" s="7"/>
      <c r="I30" s="7"/>
      <c r="J30" s="7"/>
      <c r="K30" s="7"/>
      <c r="L30" s="7">
        <v>765290</v>
      </c>
    </row>
    <row r="32" spans="1:12" x14ac:dyDescent="0.35">
      <c r="B32" s="7">
        <f>SUM(B9,B10:B21,B22*-1)</f>
        <v>-2</v>
      </c>
      <c r="C32" s="7">
        <f t="shared" ref="C32:L32" si="0">SUM(C9,C10:C21,C22*-1)</f>
        <v>0</v>
      </c>
      <c r="D32" s="7">
        <f t="shared" si="0"/>
        <v>0</v>
      </c>
      <c r="E32" s="7">
        <f t="shared" si="0"/>
        <v>1</v>
      </c>
      <c r="F32" s="7">
        <f t="shared" si="0"/>
        <v>0</v>
      </c>
      <c r="G32" s="7">
        <f t="shared" si="0"/>
        <v>0</v>
      </c>
      <c r="H32" s="7">
        <f t="shared" si="0"/>
        <v>-1</v>
      </c>
      <c r="I32" s="7">
        <f t="shared" si="0"/>
        <v>2</v>
      </c>
      <c r="J32" s="7">
        <f t="shared" si="0"/>
        <v>-1</v>
      </c>
      <c r="K32" s="7">
        <f t="shared" si="0"/>
        <v>2</v>
      </c>
      <c r="L32" s="7">
        <f t="shared" si="0"/>
        <v>1</v>
      </c>
    </row>
  </sheetData>
  <pageMargins left="0.7" right="0.7" top="0.75" bottom="0.75" header="0.3" footer="0.3"/>
  <pageSetup paperSize="9" orientation="portrait" horizontalDpi="4294967293" verticalDpi="4294967293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L32"/>
  <sheetViews>
    <sheetView zoomScale="66" zoomScaleNormal="66" workbookViewId="0">
      <selection activeCell="A3" sqref="A3:L30"/>
    </sheetView>
  </sheetViews>
  <sheetFormatPr defaultRowHeight="14.5" x14ac:dyDescent="0.35"/>
  <cols>
    <col min="1" max="1" width="36.54296875" customWidth="1"/>
    <col min="2" max="2" width="14.26953125" customWidth="1"/>
    <col min="3" max="3" width="14.1796875" customWidth="1"/>
    <col min="4" max="4" width="15" customWidth="1"/>
    <col min="5" max="5" width="13.453125" customWidth="1"/>
    <col min="6" max="6" width="13.7265625" customWidth="1"/>
    <col min="7" max="7" width="14.26953125" customWidth="1"/>
    <col min="8" max="8" width="26.26953125" customWidth="1"/>
    <col min="9" max="9" width="20.453125" customWidth="1"/>
    <col min="10" max="10" width="10.7265625" customWidth="1"/>
    <col min="11" max="11" width="12.81640625" customWidth="1"/>
    <col min="12" max="12" width="17.54296875" customWidth="1"/>
  </cols>
  <sheetData>
    <row r="1" spans="1:12" ht="30.75" customHeight="1" x14ac:dyDescent="0.35">
      <c r="B1" t="s">
        <v>214</v>
      </c>
      <c r="C1" t="s">
        <v>2</v>
      </c>
      <c r="D1" t="s">
        <v>215</v>
      </c>
      <c r="E1" t="s">
        <v>216</v>
      </c>
      <c r="F1" t="s">
        <v>5</v>
      </c>
      <c r="G1" t="s">
        <v>6</v>
      </c>
      <c r="H1" t="s">
        <v>217</v>
      </c>
      <c r="I1" t="s">
        <v>8</v>
      </c>
      <c r="J1" t="s">
        <v>9</v>
      </c>
      <c r="K1" t="s">
        <v>10</v>
      </c>
      <c r="L1" t="s">
        <v>218</v>
      </c>
    </row>
    <row r="2" spans="1:12" x14ac:dyDescent="0.35">
      <c r="B2" t="s">
        <v>219</v>
      </c>
      <c r="C2" t="s">
        <v>219</v>
      </c>
      <c r="D2" t="s">
        <v>219</v>
      </c>
      <c r="E2" t="s">
        <v>219</v>
      </c>
      <c r="F2" t="s">
        <v>219</v>
      </c>
      <c r="G2" t="s">
        <v>219</v>
      </c>
      <c r="H2" t="s">
        <v>219</v>
      </c>
      <c r="I2" t="s">
        <v>219</v>
      </c>
      <c r="J2" t="s">
        <v>219</v>
      </c>
      <c r="K2" t="s">
        <v>219</v>
      </c>
      <c r="L2" t="s">
        <v>219</v>
      </c>
    </row>
    <row r="3" spans="1:12" x14ac:dyDescent="0.35">
      <c r="A3" t="s">
        <v>17</v>
      </c>
      <c r="B3" s="7">
        <v>3877572</v>
      </c>
      <c r="C3" s="7">
        <v>4419467</v>
      </c>
      <c r="D3" s="7"/>
      <c r="E3" s="7">
        <v>2966252</v>
      </c>
      <c r="F3" s="7">
        <v>670172</v>
      </c>
      <c r="G3" s="7">
        <v>334851</v>
      </c>
      <c r="H3" s="7">
        <v>203821</v>
      </c>
      <c r="I3" s="7">
        <v>1265443</v>
      </c>
      <c r="J3" s="7"/>
      <c r="K3" s="7">
        <v>1867</v>
      </c>
      <c r="L3" s="7">
        <v>13739445</v>
      </c>
    </row>
    <row r="4" spans="1:12" x14ac:dyDescent="0.35">
      <c r="A4" t="s">
        <v>220</v>
      </c>
      <c r="B4" s="7">
        <v>765186</v>
      </c>
      <c r="C4" s="7">
        <v>2312966</v>
      </c>
      <c r="D4" s="7">
        <v>1276375</v>
      </c>
      <c r="E4" s="7">
        <v>878814</v>
      </c>
      <c r="F4" s="7"/>
      <c r="G4" s="7"/>
      <c r="H4" s="7"/>
      <c r="I4" s="7">
        <v>23451</v>
      </c>
      <c r="J4" s="7">
        <v>64620</v>
      </c>
      <c r="K4" s="7">
        <v>6</v>
      </c>
      <c r="L4" s="7">
        <v>5321418</v>
      </c>
    </row>
    <row r="5" spans="1:12" x14ac:dyDescent="0.35">
      <c r="A5" t="s">
        <v>221</v>
      </c>
      <c r="B5" s="7">
        <v>-795086</v>
      </c>
      <c r="C5" s="7">
        <v>-2264148</v>
      </c>
      <c r="D5" s="7">
        <v>-1380269</v>
      </c>
      <c r="E5" s="7">
        <v>-900334</v>
      </c>
      <c r="F5" s="7"/>
      <c r="G5" s="7"/>
      <c r="H5" s="7"/>
      <c r="I5" s="7">
        <v>-18044</v>
      </c>
      <c r="J5" s="7">
        <v>-63001</v>
      </c>
      <c r="K5" s="7">
        <v>-5</v>
      </c>
      <c r="L5" s="7">
        <v>-5420889</v>
      </c>
    </row>
    <row r="6" spans="1:12" x14ac:dyDescent="0.35">
      <c r="A6" t="s">
        <v>222</v>
      </c>
      <c r="B6" s="7"/>
      <c r="C6" s="7"/>
      <c r="D6" s="7"/>
      <c r="E6" s="7"/>
      <c r="F6" s="7"/>
      <c r="G6" s="7"/>
      <c r="H6" s="7"/>
      <c r="I6" s="7"/>
      <c r="J6" s="7"/>
      <c r="K6" s="7"/>
      <c r="L6" s="7"/>
    </row>
    <row r="7" spans="1:12" x14ac:dyDescent="0.35">
      <c r="A7" t="s">
        <v>223</v>
      </c>
      <c r="B7" s="7"/>
      <c r="C7" s="7"/>
      <c r="D7" s="7"/>
      <c r="E7" s="7"/>
      <c r="F7" s="7"/>
      <c r="G7" s="7"/>
      <c r="H7" s="7"/>
      <c r="I7" s="7"/>
      <c r="J7" s="7"/>
      <c r="K7" s="7"/>
      <c r="L7" s="7"/>
    </row>
    <row r="8" spans="1:12" x14ac:dyDescent="0.35">
      <c r="A8" t="s">
        <v>224</v>
      </c>
      <c r="B8" s="7">
        <v>-4929</v>
      </c>
      <c r="C8" s="7">
        <v>-18429</v>
      </c>
      <c r="D8" s="7">
        <v>-17727</v>
      </c>
      <c r="E8" s="7">
        <v>-15937</v>
      </c>
      <c r="F8" s="7"/>
      <c r="G8" s="7"/>
      <c r="H8" s="7"/>
      <c r="I8" s="7">
        <v>385</v>
      </c>
      <c r="J8" s="7"/>
      <c r="K8" s="7"/>
      <c r="L8" s="7">
        <v>-56637</v>
      </c>
    </row>
    <row r="9" spans="1:12" x14ac:dyDescent="0.35">
      <c r="A9" t="s">
        <v>225</v>
      </c>
      <c r="B9" s="7">
        <v>3842742</v>
      </c>
      <c r="C9" s="7">
        <v>4449855</v>
      </c>
      <c r="D9" s="7">
        <v>-121622</v>
      </c>
      <c r="E9" s="7">
        <v>2928795</v>
      </c>
      <c r="F9" s="7">
        <v>670172</v>
      </c>
      <c r="G9" s="7">
        <v>334851</v>
      </c>
      <c r="H9" s="7">
        <v>203821</v>
      </c>
      <c r="I9" s="7">
        <v>1271235</v>
      </c>
      <c r="J9" s="7">
        <v>1619</v>
      </c>
      <c r="K9" s="7">
        <v>1868</v>
      </c>
      <c r="L9" s="7">
        <v>13583338</v>
      </c>
    </row>
    <row r="10" spans="1:12" x14ac:dyDescent="0.35">
      <c r="A10" t="s">
        <v>226</v>
      </c>
      <c r="B10" s="7">
        <v>-971</v>
      </c>
      <c r="C10" s="7">
        <v>-216085</v>
      </c>
      <c r="D10" s="7">
        <v>241416</v>
      </c>
      <c r="E10" s="7"/>
      <c r="F10" s="7"/>
      <c r="G10" s="7"/>
      <c r="H10" s="7"/>
      <c r="I10" s="7">
        <v>-27</v>
      </c>
      <c r="J10" s="7"/>
      <c r="K10" s="7"/>
      <c r="L10" s="7">
        <v>24334</v>
      </c>
    </row>
    <row r="11" spans="1:12" x14ac:dyDescent="0.35">
      <c r="A11" t="s">
        <v>227</v>
      </c>
      <c r="B11" s="7">
        <v>-19322</v>
      </c>
      <c r="C11" s="7">
        <v>-4961</v>
      </c>
      <c r="D11" s="7">
        <v>37804</v>
      </c>
      <c r="E11" s="7">
        <v>15714</v>
      </c>
      <c r="F11" s="7"/>
      <c r="G11" s="7"/>
      <c r="H11" s="7">
        <v>-24</v>
      </c>
      <c r="I11" s="7">
        <v>-2245</v>
      </c>
      <c r="J11" s="7">
        <v>-6508</v>
      </c>
      <c r="K11" s="7">
        <v>407</v>
      </c>
      <c r="L11" s="7">
        <v>20867</v>
      </c>
    </row>
    <row r="12" spans="1:12" x14ac:dyDescent="0.35">
      <c r="A12" t="s">
        <v>228</v>
      </c>
      <c r="B12" s="7">
        <v>-1686083</v>
      </c>
      <c r="C12" s="7">
        <v>-46486</v>
      </c>
      <c r="D12" s="7">
        <v>-188553</v>
      </c>
      <c r="E12" s="7">
        <v>-818301</v>
      </c>
      <c r="F12" s="7">
        <v>-662593</v>
      </c>
      <c r="G12" s="7">
        <v>-334851</v>
      </c>
      <c r="H12" s="7">
        <v>-158438</v>
      </c>
      <c r="I12" s="7">
        <v>-96750</v>
      </c>
      <c r="J12" s="7">
        <v>1759146</v>
      </c>
      <c r="K12" s="7">
        <v>-873</v>
      </c>
      <c r="L12" s="7">
        <v>-2233784</v>
      </c>
    </row>
    <row r="13" spans="1:12" x14ac:dyDescent="0.35">
      <c r="A13" t="s">
        <v>66</v>
      </c>
      <c r="B13" s="7">
        <v>-618700</v>
      </c>
      <c r="C13" s="7">
        <v>-7</v>
      </c>
      <c r="D13" s="7">
        <v>-18488</v>
      </c>
      <c r="E13" s="7">
        <v>-321488</v>
      </c>
      <c r="F13" s="7">
        <v>-7579</v>
      </c>
      <c r="G13" s="7"/>
      <c r="H13" s="7">
        <v>-2729</v>
      </c>
      <c r="I13" s="7">
        <v>-59613</v>
      </c>
      <c r="J13" s="7">
        <v>328588</v>
      </c>
      <c r="K13" s="7">
        <v>228299</v>
      </c>
      <c r="L13" s="7">
        <v>-471718</v>
      </c>
    </row>
    <row r="14" spans="1:12" x14ac:dyDescent="0.35">
      <c r="A14" t="s">
        <v>229</v>
      </c>
      <c r="B14" s="7">
        <v>-23963</v>
      </c>
      <c r="C14" s="7">
        <v>-654</v>
      </c>
      <c r="D14" s="7">
        <v>-11541</v>
      </c>
      <c r="E14" s="7">
        <v>-62264</v>
      </c>
      <c r="F14" s="7"/>
      <c r="G14" s="7"/>
      <c r="H14" s="7">
        <v>-1205</v>
      </c>
      <c r="I14" s="7">
        <v>-11556</v>
      </c>
      <c r="J14" s="7">
        <v>-373</v>
      </c>
      <c r="K14" s="7">
        <v>98066</v>
      </c>
      <c r="L14" s="7">
        <v>-13491</v>
      </c>
    </row>
    <row r="15" spans="1:12" x14ac:dyDescent="0.35">
      <c r="A15" t="s">
        <v>230</v>
      </c>
      <c r="B15" s="7">
        <v>-8451</v>
      </c>
      <c r="C15" s="7">
        <v>-3</v>
      </c>
      <c r="D15" s="7">
        <v>-2482</v>
      </c>
      <c r="E15" s="7">
        <v>4592</v>
      </c>
      <c r="F15" s="7"/>
      <c r="G15" s="7"/>
      <c r="H15" s="7"/>
      <c r="I15" s="7">
        <v>-220</v>
      </c>
      <c r="J15" s="7"/>
      <c r="K15" s="7"/>
      <c r="L15" s="7">
        <v>-6565</v>
      </c>
    </row>
    <row r="16" spans="1:12" x14ac:dyDescent="0.35">
      <c r="A16" t="s">
        <v>70</v>
      </c>
      <c r="B16" s="7"/>
      <c r="C16" s="7">
        <v>-4208441</v>
      </c>
      <c r="D16" s="7">
        <v>4127460</v>
      </c>
      <c r="E16" s="7"/>
      <c r="F16" s="7"/>
      <c r="G16" s="7"/>
      <c r="H16" s="7"/>
      <c r="I16" s="7"/>
      <c r="J16" s="7"/>
      <c r="K16" s="7"/>
      <c r="L16" s="7">
        <v>-80981</v>
      </c>
    </row>
    <row r="17" spans="1:12" x14ac:dyDescent="0.35">
      <c r="A17" t="s">
        <v>231</v>
      </c>
      <c r="B17" s="7">
        <v>-282304</v>
      </c>
      <c r="C17" s="7"/>
      <c r="D17" s="7">
        <v>-2551</v>
      </c>
      <c r="E17" s="7">
        <v>-64</v>
      </c>
      <c r="F17" s="7"/>
      <c r="G17" s="7"/>
      <c r="H17" s="7"/>
      <c r="I17" s="7">
        <v>-166</v>
      </c>
      <c r="J17" s="7"/>
      <c r="K17" s="7"/>
      <c r="L17" s="7">
        <v>-285085</v>
      </c>
    </row>
    <row r="18" spans="1:12" x14ac:dyDescent="0.35">
      <c r="A18" t="s">
        <v>232</v>
      </c>
      <c r="B18" s="7">
        <v>-10105</v>
      </c>
      <c r="C18" s="7">
        <v>14376</v>
      </c>
      <c r="D18" s="7"/>
      <c r="E18" s="7">
        <v>-17894</v>
      </c>
      <c r="F18" s="7"/>
      <c r="G18" s="7"/>
      <c r="H18" s="7"/>
      <c r="I18" s="7"/>
      <c r="J18" s="7"/>
      <c r="K18" s="7"/>
      <c r="L18" s="7">
        <v>-13623</v>
      </c>
    </row>
    <row r="19" spans="1:12" x14ac:dyDescent="0.35">
      <c r="A19" t="s">
        <v>233</v>
      </c>
      <c r="B19" s="7">
        <v>-368</v>
      </c>
      <c r="C19" s="7">
        <v>46461</v>
      </c>
      <c r="D19" s="7">
        <v>-35562</v>
      </c>
      <c r="E19" s="7">
        <v>-12974</v>
      </c>
      <c r="F19" s="7"/>
      <c r="G19" s="7"/>
      <c r="H19" s="7"/>
      <c r="I19" s="7">
        <v>-77406</v>
      </c>
      <c r="J19" s="7"/>
      <c r="K19" s="7">
        <v>-569</v>
      </c>
      <c r="L19" s="7">
        <v>-80417</v>
      </c>
    </row>
    <row r="20" spans="1:12" x14ac:dyDescent="0.35">
      <c r="A20" t="s">
        <v>234</v>
      </c>
      <c r="B20" s="7">
        <v>-92711</v>
      </c>
      <c r="C20" s="7">
        <v>-12077</v>
      </c>
      <c r="D20" s="7">
        <v>-213705</v>
      </c>
      <c r="E20" s="7">
        <v>-273590</v>
      </c>
      <c r="F20" s="7"/>
      <c r="G20" s="7"/>
      <c r="H20" s="7"/>
      <c r="I20" s="7">
        <v>-14408</v>
      </c>
      <c r="J20" s="7">
        <v>-176684</v>
      </c>
      <c r="K20" s="7">
        <v>-36950</v>
      </c>
      <c r="L20" s="7">
        <v>-820124</v>
      </c>
    </row>
    <row r="21" spans="1:12" x14ac:dyDescent="0.35">
      <c r="A21" t="s">
        <v>235</v>
      </c>
      <c r="B21" s="7">
        <v>-2503</v>
      </c>
      <c r="C21" s="7">
        <v>-8478</v>
      </c>
      <c r="D21" s="7">
        <v>-391</v>
      </c>
      <c r="E21" s="7">
        <v>-19864</v>
      </c>
      <c r="F21" s="7"/>
      <c r="G21" s="7"/>
      <c r="H21" s="7">
        <v>-11</v>
      </c>
      <c r="I21" s="7">
        <v>-189</v>
      </c>
      <c r="J21" s="7">
        <v>-165064</v>
      </c>
      <c r="K21" s="7">
        <v>-18265</v>
      </c>
      <c r="L21" s="7">
        <v>-214765</v>
      </c>
    </row>
    <row r="22" spans="1:12" x14ac:dyDescent="0.35">
      <c r="A22" t="s">
        <v>131</v>
      </c>
      <c r="B22" s="7">
        <v>1097261</v>
      </c>
      <c r="C22" s="7">
        <v>13500</v>
      </c>
      <c r="D22" s="7">
        <v>3811786</v>
      </c>
      <c r="E22" s="7">
        <v>1422661</v>
      </c>
      <c r="F22" s="7"/>
      <c r="G22" s="7"/>
      <c r="H22" s="7">
        <v>41414</v>
      </c>
      <c r="I22" s="7">
        <v>1008654</v>
      </c>
      <c r="J22" s="7">
        <v>1740726</v>
      </c>
      <c r="K22" s="7">
        <v>271984</v>
      </c>
      <c r="L22" s="7">
        <v>9407986</v>
      </c>
    </row>
    <row r="23" spans="1:12" x14ac:dyDescent="0.35">
      <c r="A23" t="s">
        <v>80</v>
      </c>
      <c r="B23" s="7">
        <v>888001</v>
      </c>
      <c r="C23" s="7">
        <v>3556</v>
      </c>
      <c r="D23" s="7">
        <v>292606</v>
      </c>
      <c r="E23" s="7">
        <v>541402</v>
      </c>
      <c r="F23" s="7"/>
      <c r="G23" s="7"/>
      <c r="H23" s="7">
        <v>850</v>
      </c>
      <c r="I23" s="7">
        <v>199657</v>
      </c>
      <c r="J23" s="7">
        <v>733588</v>
      </c>
      <c r="K23" s="7">
        <v>124658</v>
      </c>
      <c r="L23" s="7">
        <v>2784319</v>
      </c>
    </row>
    <row r="24" spans="1:12" x14ac:dyDescent="0.35">
      <c r="A24" t="s">
        <v>82</v>
      </c>
      <c r="B24" s="7">
        <v>55</v>
      </c>
      <c r="C24" s="7">
        <v>15</v>
      </c>
      <c r="D24" s="7">
        <v>2486875</v>
      </c>
      <c r="E24" s="7">
        <v>97764</v>
      </c>
      <c r="F24" s="7"/>
      <c r="G24" s="7"/>
      <c r="H24" s="7"/>
      <c r="I24" s="7">
        <v>78151</v>
      </c>
      <c r="J24" s="7">
        <v>28795</v>
      </c>
      <c r="K24" s="7"/>
      <c r="L24" s="7">
        <v>2691655</v>
      </c>
    </row>
    <row r="25" spans="1:12" x14ac:dyDescent="0.35">
      <c r="A25" t="s">
        <v>86</v>
      </c>
      <c r="B25" s="7">
        <v>74956</v>
      </c>
      <c r="C25" s="7"/>
      <c r="D25" s="7">
        <v>204943</v>
      </c>
      <c r="E25" s="7">
        <v>423166</v>
      </c>
      <c r="F25" s="7"/>
      <c r="G25" s="7"/>
      <c r="H25" s="7">
        <v>29973</v>
      </c>
      <c r="I25" s="7">
        <v>688011</v>
      </c>
      <c r="J25" s="7">
        <v>472082</v>
      </c>
      <c r="K25" s="7">
        <v>102624</v>
      </c>
      <c r="L25" s="7">
        <v>1995755</v>
      </c>
    </row>
    <row r="26" spans="1:12" x14ac:dyDescent="0.35">
      <c r="A26" t="s">
        <v>88</v>
      </c>
      <c r="B26" s="7">
        <v>34778</v>
      </c>
      <c r="C26" s="7"/>
      <c r="D26" s="7">
        <v>82279</v>
      </c>
      <c r="E26" s="7">
        <v>185474</v>
      </c>
      <c r="F26" s="7"/>
      <c r="G26" s="7"/>
      <c r="H26" s="7">
        <v>7680</v>
      </c>
      <c r="I26" s="7">
        <v>29396</v>
      </c>
      <c r="J26" s="7">
        <v>387199</v>
      </c>
      <c r="K26" s="7">
        <v>34421</v>
      </c>
      <c r="L26" s="7">
        <v>761226</v>
      </c>
    </row>
    <row r="27" spans="1:12" x14ac:dyDescent="0.35">
      <c r="A27" t="s">
        <v>90</v>
      </c>
      <c r="B27" s="7">
        <v>15327</v>
      </c>
      <c r="C27" s="7">
        <v>10</v>
      </c>
      <c r="D27" s="7">
        <v>106938</v>
      </c>
      <c r="E27" s="7">
        <v>9229</v>
      </c>
      <c r="F27" s="7"/>
      <c r="G27" s="7"/>
      <c r="H27" s="7">
        <v>1878</v>
      </c>
      <c r="I27" s="7">
        <v>11187</v>
      </c>
      <c r="J27" s="7">
        <v>49932</v>
      </c>
      <c r="K27" s="7">
        <v>3074</v>
      </c>
      <c r="L27" s="7">
        <v>197573</v>
      </c>
    </row>
    <row r="28" spans="1:12" x14ac:dyDescent="0.35">
      <c r="A28" t="s">
        <v>92</v>
      </c>
      <c r="B28" s="7">
        <v>1</v>
      </c>
      <c r="C28" s="7"/>
      <c r="D28" s="7">
        <v>6363</v>
      </c>
      <c r="E28" s="7">
        <v>97</v>
      </c>
      <c r="F28" s="7"/>
      <c r="G28" s="7"/>
      <c r="H28" s="7">
        <v>43</v>
      </c>
      <c r="I28" s="7">
        <v>22</v>
      </c>
      <c r="J28" s="7">
        <v>616</v>
      </c>
      <c r="K28" s="7">
        <v>31</v>
      </c>
      <c r="L28" s="7">
        <v>7173</v>
      </c>
    </row>
    <row r="29" spans="1:12" x14ac:dyDescent="0.35">
      <c r="A29" t="s">
        <v>94</v>
      </c>
      <c r="B29" s="7">
        <v>29839</v>
      </c>
      <c r="C29" s="7">
        <v>58</v>
      </c>
      <c r="D29" s="7">
        <v>23450</v>
      </c>
      <c r="E29" s="7">
        <v>3520</v>
      </c>
      <c r="F29" s="7"/>
      <c r="G29" s="7"/>
      <c r="H29" s="7">
        <v>990</v>
      </c>
      <c r="I29" s="7">
        <v>2230</v>
      </c>
      <c r="J29" s="7">
        <v>68514</v>
      </c>
      <c r="K29" s="7">
        <v>7176</v>
      </c>
      <c r="L29" s="7">
        <v>135777</v>
      </c>
    </row>
    <row r="30" spans="1:12" x14ac:dyDescent="0.35">
      <c r="A30" t="s">
        <v>236</v>
      </c>
      <c r="B30" s="7">
        <v>54305</v>
      </c>
      <c r="C30" s="7">
        <v>9861</v>
      </c>
      <c r="D30" s="7">
        <v>608332</v>
      </c>
      <c r="E30" s="7">
        <v>162009</v>
      </c>
      <c r="F30" s="7"/>
      <c r="G30" s="7"/>
      <c r="H30" s="7"/>
      <c r="I30" s="7"/>
      <c r="J30" s="7"/>
      <c r="K30" s="7"/>
      <c r="L30" s="7">
        <v>834508</v>
      </c>
    </row>
    <row r="32" spans="1:12" x14ac:dyDescent="0.35">
      <c r="B32" s="7">
        <f>SUM(B9,B10:B21,B22*-1)</f>
        <v>0</v>
      </c>
      <c r="C32" s="7">
        <f t="shared" ref="C32:L32" si="0">SUM(C9,C10:C21,C22*-1)</f>
        <v>0</v>
      </c>
      <c r="D32" s="7">
        <f t="shared" si="0"/>
        <v>-1</v>
      </c>
      <c r="E32" s="7">
        <f t="shared" si="0"/>
        <v>1</v>
      </c>
      <c r="F32" s="7">
        <f t="shared" si="0"/>
        <v>0</v>
      </c>
      <c r="G32" s="7">
        <f t="shared" si="0"/>
        <v>0</v>
      </c>
      <c r="H32" s="7">
        <f t="shared" si="0"/>
        <v>0</v>
      </c>
      <c r="I32" s="7">
        <f t="shared" si="0"/>
        <v>1</v>
      </c>
      <c r="J32" s="7">
        <f t="shared" si="0"/>
        <v>-2</v>
      </c>
      <c r="K32" s="7">
        <f t="shared" si="0"/>
        <v>-1</v>
      </c>
      <c r="L32" s="7">
        <f t="shared" si="0"/>
        <v>0</v>
      </c>
    </row>
  </sheetData>
  <pageMargins left="0.7" right="0.7" top="0.75" bottom="0.75" header="0.3" footer="0.3"/>
  <pageSetup paperSize="9" orientation="portrait" horizontalDpi="4294967293" verticalDpi="4294967293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Ark91"/>
  <dimension ref="A1:L32"/>
  <sheetViews>
    <sheetView topLeftCell="A2" zoomScaleNormal="100" workbookViewId="0">
      <selection activeCell="L22" sqref="L22"/>
    </sheetView>
  </sheetViews>
  <sheetFormatPr defaultRowHeight="14.5" x14ac:dyDescent="0.35"/>
  <cols>
    <col min="1" max="1" width="36.54296875" customWidth="1"/>
    <col min="2" max="2" width="14.26953125" customWidth="1"/>
    <col min="3" max="3" width="14.1796875" customWidth="1"/>
    <col min="4" max="4" width="15" customWidth="1"/>
    <col min="5" max="5" width="13.453125" customWidth="1"/>
    <col min="6" max="6" width="13.7265625" customWidth="1"/>
    <col min="7" max="7" width="14.26953125" customWidth="1"/>
    <col min="8" max="8" width="26.26953125" customWidth="1"/>
    <col min="9" max="9" width="20.453125" customWidth="1"/>
    <col min="10" max="10" width="10.7265625" customWidth="1"/>
    <col min="11" max="11" width="12.81640625" customWidth="1"/>
    <col min="12" max="12" width="17.54296875" customWidth="1"/>
  </cols>
  <sheetData>
    <row r="1" spans="1:12" ht="30.75" customHeight="1" x14ac:dyDescent="0.35">
      <c r="B1" t="s">
        <v>214</v>
      </c>
      <c r="C1" t="s">
        <v>2</v>
      </c>
      <c r="D1" t="s">
        <v>215</v>
      </c>
      <c r="E1" t="s">
        <v>216</v>
      </c>
      <c r="F1" t="s">
        <v>5</v>
      </c>
      <c r="G1" t="s">
        <v>6</v>
      </c>
      <c r="H1" t="s">
        <v>217</v>
      </c>
      <c r="I1" t="s">
        <v>8</v>
      </c>
      <c r="J1" t="s">
        <v>9</v>
      </c>
      <c r="K1" t="s">
        <v>10</v>
      </c>
      <c r="L1" t="s">
        <v>218</v>
      </c>
    </row>
    <row r="2" spans="1:12" x14ac:dyDescent="0.35">
      <c r="B2" t="s">
        <v>219</v>
      </c>
      <c r="C2" t="s">
        <v>219</v>
      </c>
      <c r="D2" t="s">
        <v>219</v>
      </c>
      <c r="E2" t="s">
        <v>219</v>
      </c>
      <c r="F2" t="s">
        <v>219</v>
      </c>
      <c r="G2" t="s">
        <v>219</v>
      </c>
      <c r="H2" t="s">
        <v>219</v>
      </c>
      <c r="I2" t="s">
        <v>219</v>
      </c>
      <c r="J2" t="s">
        <v>219</v>
      </c>
      <c r="K2" t="s">
        <v>219</v>
      </c>
      <c r="L2" t="s">
        <v>219</v>
      </c>
    </row>
    <row r="3" spans="1:12" x14ac:dyDescent="0.35">
      <c r="A3" t="s">
        <v>17</v>
      </c>
      <c r="B3" s="7">
        <v>3893679</v>
      </c>
      <c r="C3" s="7">
        <v>4552548</v>
      </c>
      <c r="D3" s="7"/>
      <c r="E3" s="7">
        <v>3293124</v>
      </c>
      <c r="F3" s="7">
        <v>706814</v>
      </c>
      <c r="G3" s="7">
        <v>362332</v>
      </c>
      <c r="H3" s="7">
        <v>286377</v>
      </c>
      <c r="I3" s="7">
        <v>1324214</v>
      </c>
      <c r="J3" s="7"/>
      <c r="K3" s="7">
        <v>2062</v>
      </c>
      <c r="L3" s="7">
        <v>14421151</v>
      </c>
    </row>
    <row r="4" spans="1:12" x14ac:dyDescent="0.35">
      <c r="A4" t="s">
        <v>220</v>
      </c>
      <c r="B4" s="7">
        <v>829289</v>
      </c>
      <c r="C4" s="7">
        <v>2479487</v>
      </c>
      <c r="D4" s="7">
        <v>1396839</v>
      </c>
      <c r="E4" s="7">
        <v>985018</v>
      </c>
      <c r="F4" s="7"/>
      <c r="G4" s="7"/>
      <c r="H4" s="7"/>
      <c r="I4" s="7">
        <v>29259</v>
      </c>
      <c r="J4" s="7">
        <v>62626</v>
      </c>
      <c r="K4" s="7">
        <v>6</v>
      </c>
      <c r="L4" s="7">
        <v>5782524</v>
      </c>
    </row>
    <row r="5" spans="1:12" x14ac:dyDescent="0.35">
      <c r="A5" t="s">
        <v>221</v>
      </c>
      <c r="B5" s="7">
        <v>-879689</v>
      </c>
      <c r="C5" s="7">
        <v>-2440069</v>
      </c>
      <c r="D5" s="7">
        <v>-1488672</v>
      </c>
      <c r="E5" s="7">
        <v>-1019823</v>
      </c>
      <c r="F5" s="7"/>
      <c r="G5" s="7"/>
      <c r="H5" s="7"/>
      <c r="I5" s="7">
        <v>-25250</v>
      </c>
      <c r="J5" s="7">
        <v>-62373</v>
      </c>
      <c r="K5" s="7">
        <v>-2</v>
      </c>
      <c r="L5" s="7">
        <v>-5915877</v>
      </c>
    </row>
    <row r="6" spans="1:12" x14ac:dyDescent="0.35">
      <c r="A6" t="s">
        <v>222</v>
      </c>
      <c r="B6" s="7"/>
      <c r="C6" s="7"/>
      <c r="D6" s="7"/>
      <c r="E6" s="7"/>
      <c r="F6" s="7"/>
      <c r="G6" s="7"/>
      <c r="H6" s="7"/>
      <c r="I6" s="7"/>
      <c r="J6" s="7"/>
      <c r="K6" s="7"/>
      <c r="L6" s="7"/>
    </row>
    <row r="7" spans="1:12" x14ac:dyDescent="0.35">
      <c r="A7" t="s">
        <v>223</v>
      </c>
      <c r="B7" s="7"/>
      <c r="C7" s="7"/>
      <c r="D7" s="7"/>
      <c r="E7" s="7"/>
      <c r="F7" s="7"/>
      <c r="G7" s="7"/>
      <c r="H7" s="7"/>
      <c r="I7" s="7"/>
      <c r="J7" s="7"/>
      <c r="K7" s="7"/>
      <c r="L7" s="7"/>
    </row>
    <row r="8" spans="1:12" x14ac:dyDescent="0.35">
      <c r="A8" t="s">
        <v>224</v>
      </c>
      <c r="B8" s="7">
        <v>-4954</v>
      </c>
      <c r="C8" s="7">
        <v>-6450</v>
      </c>
      <c r="D8" s="7">
        <v>3316</v>
      </c>
      <c r="E8" s="7">
        <v>3276</v>
      </c>
      <c r="F8" s="7"/>
      <c r="G8" s="7"/>
      <c r="H8" s="7"/>
      <c r="I8" s="7">
        <v>-1096</v>
      </c>
      <c r="J8" s="7"/>
      <c r="K8" s="7"/>
      <c r="L8" s="7">
        <v>-5909</v>
      </c>
    </row>
    <row r="9" spans="1:12" x14ac:dyDescent="0.35">
      <c r="A9" t="s">
        <v>225</v>
      </c>
      <c r="B9" s="7">
        <v>3838326</v>
      </c>
      <c r="C9" s="7">
        <v>4585516</v>
      </c>
      <c r="D9" s="7">
        <v>-88517</v>
      </c>
      <c r="E9" s="7">
        <v>3261595</v>
      </c>
      <c r="F9" s="7">
        <v>706814</v>
      </c>
      <c r="G9" s="7">
        <v>362332</v>
      </c>
      <c r="H9" s="7">
        <v>286377</v>
      </c>
      <c r="I9" s="7">
        <v>1327127</v>
      </c>
      <c r="J9" s="7">
        <v>253</v>
      </c>
      <c r="K9" s="7">
        <v>2066</v>
      </c>
      <c r="L9" s="7">
        <v>14281889</v>
      </c>
    </row>
    <row r="10" spans="1:12" x14ac:dyDescent="0.35">
      <c r="A10" t="s">
        <v>226</v>
      </c>
      <c r="B10" s="7">
        <v>-1156</v>
      </c>
      <c r="C10" s="7">
        <v>-230550</v>
      </c>
      <c r="D10" s="7">
        <v>261068</v>
      </c>
      <c r="E10" s="7"/>
      <c r="F10" s="7"/>
      <c r="G10" s="7"/>
      <c r="H10" s="7"/>
      <c r="I10" s="7"/>
      <c r="J10" s="7"/>
      <c r="K10" s="7"/>
      <c r="L10" s="7">
        <v>29362</v>
      </c>
    </row>
    <row r="11" spans="1:12" x14ac:dyDescent="0.35">
      <c r="A11" t="s">
        <v>227</v>
      </c>
      <c r="B11" s="7">
        <v>-27371</v>
      </c>
      <c r="C11" s="7">
        <v>4874</v>
      </c>
      <c r="D11" s="7">
        <v>9542</v>
      </c>
      <c r="E11" s="7">
        <v>-3130</v>
      </c>
      <c r="F11" s="7"/>
      <c r="G11" s="7"/>
      <c r="H11" s="7">
        <v>-42</v>
      </c>
      <c r="I11" s="7">
        <v>-118</v>
      </c>
      <c r="J11" s="7">
        <v>-5139</v>
      </c>
      <c r="K11" s="7">
        <v>3966</v>
      </c>
      <c r="L11" s="7">
        <v>-17417</v>
      </c>
    </row>
    <row r="12" spans="1:12" x14ac:dyDescent="0.35">
      <c r="A12" t="s">
        <v>228</v>
      </c>
      <c r="B12" s="7">
        <v>-1758789</v>
      </c>
      <c r="C12" s="7">
        <v>-30837</v>
      </c>
      <c r="D12" s="7">
        <v>-146137</v>
      </c>
      <c r="E12" s="7">
        <v>-910907</v>
      </c>
      <c r="F12" s="7">
        <v>-703393</v>
      </c>
      <c r="G12" s="7">
        <v>-362332</v>
      </c>
      <c r="H12" s="7">
        <v>-233459</v>
      </c>
      <c r="I12" s="7">
        <v>-135891</v>
      </c>
      <c r="J12" s="7">
        <v>1931734</v>
      </c>
      <c r="K12" s="7">
        <v>-894</v>
      </c>
      <c r="L12" s="7">
        <v>-2350907</v>
      </c>
    </row>
    <row r="13" spans="1:12" x14ac:dyDescent="0.35">
      <c r="A13" t="s">
        <v>66</v>
      </c>
      <c r="B13" s="7">
        <v>-676202</v>
      </c>
      <c r="C13" s="7">
        <v>-21</v>
      </c>
      <c r="D13" s="7">
        <v>-15484</v>
      </c>
      <c r="E13" s="7">
        <v>-333421</v>
      </c>
      <c r="F13" s="7">
        <v>-3421</v>
      </c>
      <c r="G13" s="7"/>
      <c r="H13" s="7">
        <v>-2921</v>
      </c>
      <c r="I13" s="7">
        <v>-64690</v>
      </c>
      <c r="J13" s="7">
        <v>357078</v>
      </c>
      <c r="K13" s="7">
        <v>255095</v>
      </c>
      <c r="L13" s="7">
        <v>-483987</v>
      </c>
    </row>
    <row r="14" spans="1:12" x14ac:dyDescent="0.35">
      <c r="A14" t="s">
        <v>229</v>
      </c>
      <c r="B14" s="7">
        <v>-24095</v>
      </c>
      <c r="C14" s="7">
        <v>-473</v>
      </c>
      <c r="D14" s="7">
        <v>-9864</v>
      </c>
      <c r="E14" s="7">
        <v>-59921</v>
      </c>
      <c r="F14" s="7"/>
      <c r="G14" s="7"/>
      <c r="H14" s="7">
        <v>-1618</v>
      </c>
      <c r="I14" s="7">
        <v>-12433</v>
      </c>
      <c r="J14" s="7">
        <v>-711</v>
      </c>
      <c r="K14" s="7">
        <v>101664</v>
      </c>
      <c r="L14" s="7">
        <v>-7452</v>
      </c>
    </row>
    <row r="15" spans="1:12" x14ac:dyDescent="0.35">
      <c r="A15" t="s">
        <v>230</v>
      </c>
      <c r="B15" s="7">
        <v>-9659</v>
      </c>
      <c r="C15" s="7"/>
      <c r="D15" s="7">
        <v>-2817</v>
      </c>
      <c r="E15" s="7">
        <v>5137</v>
      </c>
      <c r="F15" s="7"/>
      <c r="G15" s="7"/>
      <c r="H15" s="7"/>
      <c r="I15" s="7">
        <v>-671</v>
      </c>
      <c r="J15" s="7"/>
      <c r="K15" s="7"/>
      <c r="L15" s="7">
        <v>-8011</v>
      </c>
    </row>
    <row r="16" spans="1:12" x14ac:dyDescent="0.35">
      <c r="A16" t="s">
        <v>70</v>
      </c>
      <c r="B16" s="7"/>
      <c r="C16" s="7">
        <v>-4361958</v>
      </c>
      <c r="D16" s="7">
        <v>4269234</v>
      </c>
      <c r="E16" s="7"/>
      <c r="F16" s="7"/>
      <c r="G16" s="7"/>
      <c r="H16" s="7"/>
      <c r="I16" s="7"/>
      <c r="J16" s="7"/>
      <c r="K16" s="7"/>
      <c r="L16" s="7">
        <v>-92723</v>
      </c>
    </row>
    <row r="17" spans="1:12" x14ac:dyDescent="0.35">
      <c r="A17" t="s">
        <v>231</v>
      </c>
      <c r="B17" s="7">
        <v>-246837</v>
      </c>
      <c r="C17" s="7"/>
      <c r="D17" s="7">
        <v>-2529</v>
      </c>
      <c r="E17" s="7">
        <v>-56</v>
      </c>
      <c r="F17" s="7"/>
      <c r="G17" s="7"/>
      <c r="H17" s="7"/>
      <c r="I17" s="7">
        <v>-160</v>
      </c>
      <c r="J17" s="7"/>
      <c r="K17" s="7"/>
      <c r="L17" s="7">
        <v>-249583</v>
      </c>
    </row>
    <row r="18" spans="1:12" x14ac:dyDescent="0.35">
      <c r="A18" t="s">
        <v>232</v>
      </c>
      <c r="B18" s="7">
        <v>-17168</v>
      </c>
      <c r="C18" s="7">
        <v>15456</v>
      </c>
      <c r="D18" s="7"/>
      <c r="E18" s="7">
        <v>-11303</v>
      </c>
      <c r="F18" s="7"/>
      <c r="G18" s="7"/>
      <c r="H18" s="7"/>
      <c r="I18" s="7"/>
      <c r="J18" s="7"/>
      <c r="K18" s="7"/>
      <c r="L18" s="7">
        <v>-13015</v>
      </c>
    </row>
    <row r="19" spans="1:12" x14ac:dyDescent="0.35">
      <c r="A19" t="s">
        <v>233</v>
      </c>
      <c r="B19" s="7">
        <v>-275</v>
      </c>
      <c r="C19" s="7">
        <v>48551</v>
      </c>
      <c r="D19" s="7">
        <v>-36636</v>
      </c>
      <c r="E19" s="7">
        <v>-14738</v>
      </c>
      <c r="F19" s="7"/>
      <c r="G19" s="7"/>
      <c r="H19" s="7"/>
      <c r="I19" s="7">
        <v>-85124</v>
      </c>
      <c r="J19" s="7"/>
      <c r="K19" s="7">
        <v>-541</v>
      </c>
      <c r="L19" s="7">
        <v>-88764</v>
      </c>
    </row>
    <row r="20" spans="1:12" x14ac:dyDescent="0.35">
      <c r="A20" t="s">
        <v>234</v>
      </c>
      <c r="B20" s="7">
        <v>-79961</v>
      </c>
      <c r="C20" s="7">
        <v>-9869</v>
      </c>
      <c r="D20" s="7">
        <v>-199045</v>
      </c>
      <c r="E20" s="7">
        <v>-302707</v>
      </c>
      <c r="F20" s="7"/>
      <c r="G20" s="7"/>
      <c r="H20" s="7">
        <v>-3</v>
      </c>
      <c r="I20" s="7">
        <v>-15473</v>
      </c>
      <c r="J20" s="7">
        <v>-192975</v>
      </c>
      <c r="K20" s="7">
        <v>-39152</v>
      </c>
      <c r="L20" s="7">
        <v>-839185</v>
      </c>
    </row>
    <row r="21" spans="1:12" x14ac:dyDescent="0.35">
      <c r="A21" t="s">
        <v>235</v>
      </c>
      <c r="B21" s="7">
        <v>-2313</v>
      </c>
      <c r="C21" s="7">
        <v>-8100</v>
      </c>
      <c r="D21" s="7">
        <v>-313</v>
      </c>
      <c r="E21" s="7">
        <v>-19204</v>
      </c>
      <c r="F21" s="7"/>
      <c r="G21" s="7"/>
      <c r="H21" s="7">
        <v>-11</v>
      </c>
      <c r="I21" s="7">
        <v>-192</v>
      </c>
      <c r="J21" s="7">
        <v>-171460</v>
      </c>
      <c r="K21" s="7">
        <v>-20909</v>
      </c>
      <c r="L21" s="7">
        <v>-222503</v>
      </c>
    </row>
    <row r="22" spans="1:12" x14ac:dyDescent="0.35">
      <c r="A22" t="s">
        <v>131</v>
      </c>
      <c r="B22" s="7">
        <v>994497</v>
      </c>
      <c r="C22" s="7">
        <v>12588</v>
      </c>
      <c r="D22" s="7">
        <v>4038502</v>
      </c>
      <c r="E22" s="7">
        <v>1611345</v>
      </c>
      <c r="F22" s="7"/>
      <c r="G22" s="7"/>
      <c r="H22" s="7">
        <v>48322</v>
      </c>
      <c r="I22" s="7">
        <v>1012374</v>
      </c>
      <c r="J22" s="7">
        <v>1918779</v>
      </c>
      <c r="K22" s="7">
        <v>301295</v>
      </c>
      <c r="L22" s="7">
        <v>9937703</v>
      </c>
    </row>
    <row r="23" spans="1:12" x14ac:dyDescent="0.35">
      <c r="A23" t="s">
        <v>80</v>
      </c>
      <c r="B23" s="7">
        <v>796792</v>
      </c>
      <c r="C23" s="7">
        <v>2500</v>
      </c>
      <c r="D23" s="7">
        <v>290436</v>
      </c>
      <c r="E23" s="7">
        <v>597863</v>
      </c>
      <c r="F23" s="7"/>
      <c r="G23" s="7"/>
      <c r="H23" s="7">
        <v>1022</v>
      </c>
      <c r="I23" s="7">
        <v>204047</v>
      </c>
      <c r="J23" s="7">
        <v>804964</v>
      </c>
      <c r="K23" s="7">
        <v>141690</v>
      </c>
      <c r="L23" s="7">
        <v>2839313</v>
      </c>
    </row>
    <row r="24" spans="1:12" x14ac:dyDescent="0.35">
      <c r="A24" t="s">
        <v>82</v>
      </c>
      <c r="B24" s="7">
        <v>53</v>
      </c>
      <c r="C24" s="7">
        <v>71</v>
      </c>
      <c r="D24" s="7">
        <v>2650434</v>
      </c>
      <c r="E24" s="7">
        <v>117175</v>
      </c>
      <c r="F24" s="7"/>
      <c r="G24" s="7"/>
      <c r="H24" s="7"/>
      <c r="I24" s="7">
        <v>89642</v>
      </c>
      <c r="J24" s="7">
        <v>33525</v>
      </c>
      <c r="K24" s="7"/>
      <c r="L24" s="7">
        <v>2890900</v>
      </c>
    </row>
    <row r="25" spans="1:12" x14ac:dyDescent="0.35">
      <c r="A25" t="s">
        <v>86</v>
      </c>
      <c r="B25" s="7">
        <v>74877</v>
      </c>
      <c r="C25" s="7"/>
      <c r="D25" s="7">
        <v>218297</v>
      </c>
      <c r="E25" s="7">
        <v>481530</v>
      </c>
      <c r="F25" s="7"/>
      <c r="G25" s="7"/>
      <c r="H25" s="7">
        <v>34973</v>
      </c>
      <c r="I25" s="7">
        <v>673755</v>
      </c>
      <c r="J25" s="7">
        <v>516595</v>
      </c>
      <c r="K25" s="7">
        <v>109177</v>
      </c>
      <c r="L25" s="7">
        <v>2109205</v>
      </c>
    </row>
    <row r="26" spans="1:12" x14ac:dyDescent="0.35">
      <c r="A26" t="s">
        <v>88</v>
      </c>
      <c r="B26" s="7">
        <v>30265</v>
      </c>
      <c r="C26" s="7"/>
      <c r="D26" s="7">
        <v>79180</v>
      </c>
      <c r="E26" s="7">
        <v>207178</v>
      </c>
      <c r="F26" s="7"/>
      <c r="G26" s="7"/>
      <c r="H26" s="7">
        <v>8644</v>
      </c>
      <c r="I26" s="7">
        <v>30823</v>
      </c>
      <c r="J26" s="7">
        <v>412627</v>
      </c>
      <c r="K26" s="7">
        <v>39901</v>
      </c>
      <c r="L26" s="7">
        <v>808619</v>
      </c>
    </row>
    <row r="27" spans="1:12" x14ac:dyDescent="0.35">
      <c r="A27" t="s">
        <v>90</v>
      </c>
      <c r="B27" s="7">
        <v>15601</v>
      </c>
      <c r="C27" s="7">
        <v>2</v>
      </c>
      <c r="D27" s="7">
        <v>111062</v>
      </c>
      <c r="E27" s="7">
        <v>10348</v>
      </c>
      <c r="F27" s="7"/>
      <c r="G27" s="7"/>
      <c r="H27" s="7">
        <v>2347</v>
      </c>
      <c r="I27" s="7">
        <v>12005</v>
      </c>
      <c r="J27" s="7">
        <v>58873</v>
      </c>
      <c r="K27" s="7">
        <v>4482</v>
      </c>
      <c r="L27" s="7">
        <v>214719</v>
      </c>
    </row>
    <row r="28" spans="1:12" x14ac:dyDescent="0.35">
      <c r="A28" t="s">
        <v>92</v>
      </c>
      <c r="B28" s="7">
        <v>2</v>
      </c>
      <c r="C28" s="7"/>
      <c r="D28" s="7">
        <v>6151</v>
      </c>
      <c r="E28" s="7">
        <v>50</v>
      </c>
      <c r="F28" s="7"/>
      <c r="G28" s="7"/>
      <c r="H28" s="7">
        <v>58</v>
      </c>
      <c r="I28" s="7">
        <v>24</v>
      </c>
      <c r="J28" s="7">
        <v>665</v>
      </c>
      <c r="K28" s="7">
        <v>55</v>
      </c>
      <c r="L28" s="7">
        <v>7005</v>
      </c>
    </row>
    <row r="29" spans="1:12" x14ac:dyDescent="0.35">
      <c r="A29" t="s">
        <v>94</v>
      </c>
      <c r="B29" s="7">
        <v>25404</v>
      </c>
      <c r="C29" s="7">
        <v>3</v>
      </c>
      <c r="D29" s="7">
        <v>21307</v>
      </c>
      <c r="E29" s="7">
        <v>3590</v>
      </c>
      <c r="F29" s="7"/>
      <c r="G29" s="7"/>
      <c r="H29" s="7">
        <v>1278</v>
      </c>
      <c r="I29" s="7">
        <v>2078</v>
      </c>
      <c r="J29" s="7">
        <v>91530</v>
      </c>
      <c r="K29" s="7">
        <v>5989</v>
      </c>
      <c r="L29" s="7">
        <v>151179</v>
      </c>
    </row>
    <row r="30" spans="1:12" x14ac:dyDescent="0.35">
      <c r="A30" t="s">
        <v>236</v>
      </c>
      <c r="B30" s="7">
        <v>51503</v>
      </c>
      <c r="C30" s="7">
        <v>10012</v>
      </c>
      <c r="D30" s="7">
        <v>661634</v>
      </c>
      <c r="E30" s="7">
        <v>193612</v>
      </c>
      <c r="F30" s="7"/>
      <c r="G30" s="7"/>
      <c r="H30" s="7"/>
      <c r="I30" s="7"/>
      <c r="J30" s="7"/>
      <c r="K30" s="7"/>
      <c r="L30" s="7">
        <v>916762</v>
      </c>
    </row>
    <row r="32" spans="1:12" x14ac:dyDescent="0.35">
      <c r="B32" s="7">
        <f>SUM(B9,B10:B21,B22*-1)</f>
        <v>3</v>
      </c>
      <c r="C32" s="7">
        <f t="shared" ref="C32:L32" si="0">SUM(C9,C10:C21,C22*-1)</f>
        <v>1</v>
      </c>
      <c r="D32" s="7">
        <f t="shared" si="0"/>
        <v>0</v>
      </c>
      <c r="E32" s="7">
        <f t="shared" si="0"/>
        <v>0</v>
      </c>
      <c r="F32" s="7">
        <f t="shared" si="0"/>
        <v>0</v>
      </c>
      <c r="G32" s="7">
        <f t="shared" si="0"/>
        <v>0</v>
      </c>
      <c r="H32" s="7">
        <f t="shared" si="0"/>
        <v>1</v>
      </c>
      <c r="I32" s="7">
        <f t="shared" si="0"/>
        <v>1</v>
      </c>
      <c r="J32" s="7">
        <f t="shared" si="0"/>
        <v>1</v>
      </c>
      <c r="K32" s="7">
        <f t="shared" si="0"/>
        <v>0</v>
      </c>
      <c r="L32" s="7">
        <f t="shared" si="0"/>
        <v>1</v>
      </c>
    </row>
  </sheetData>
  <pageMargins left="0.7" right="0.7" top="0.75" bottom="0.75" header="0.3" footer="0.3"/>
  <pageSetup paperSize="9" orientation="portrait" horizontalDpi="4294967293" verticalDpi="4294967293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AH30"/>
  <sheetViews>
    <sheetView topLeftCell="Q1" zoomScale="130" zoomScaleNormal="130" workbookViewId="0">
      <selection sqref="A1:AH25"/>
    </sheetView>
  </sheetViews>
  <sheetFormatPr defaultRowHeight="14.5" x14ac:dyDescent="0.35"/>
  <cols>
    <col min="3" max="3" width="16.453125" customWidth="1"/>
    <col min="4" max="4" width="12.81640625" customWidth="1"/>
    <col min="5" max="5" width="12.54296875" customWidth="1"/>
    <col min="6" max="6" width="16.54296875" customWidth="1"/>
    <col min="10" max="10" width="12.54296875" customWidth="1"/>
    <col min="11" max="11" width="11.54296875" customWidth="1"/>
    <col min="14" max="14" width="10.81640625" customWidth="1"/>
    <col min="15" max="15" width="51.54296875" customWidth="1"/>
    <col min="16" max="18" width="15.81640625" customWidth="1"/>
    <col min="19" max="19" width="12.81640625" customWidth="1"/>
    <col min="24" max="24" width="14.1796875" bestFit="1" customWidth="1"/>
    <col min="33" max="34" width="11.26953125" customWidth="1"/>
  </cols>
  <sheetData>
    <row r="1" spans="1:34" ht="140" x14ac:dyDescent="0.35">
      <c r="B1" s="44" t="s">
        <v>0</v>
      </c>
      <c r="C1" s="3" t="s">
        <v>1</v>
      </c>
      <c r="D1" s="8" t="s">
        <v>2</v>
      </c>
      <c r="E1" s="2" t="s">
        <v>3</v>
      </c>
      <c r="F1" s="3" t="s">
        <v>4</v>
      </c>
      <c r="G1" s="1" t="s">
        <v>5</v>
      </c>
      <c r="H1" s="1" t="s">
        <v>6</v>
      </c>
      <c r="I1" s="1" t="s">
        <v>7</v>
      </c>
      <c r="J1" s="3" t="s">
        <v>8</v>
      </c>
      <c r="K1" s="2" t="s">
        <v>9</v>
      </c>
      <c r="L1" s="2" t="s">
        <v>10</v>
      </c>
      <c r="M1" s="17" t="s">
        <v>11</v>
      </c>
      <c r="N1" s="5" t="s">
        <v>12</v>
      </c>
      <c r="O1" s="4" t="s">
        <v>237</v>
      </c>
      <c r="P1" s="60"/>
      <c r="Q1" s="60"/>
      <c r="R1" s="12" t="s">
        <v>14</v>
      </c>
      <c r="S1" s="11" t="s">
        <v>15</v>
      </c>
      <c r="T1" s="12" t="s">
        <v>16</v>
      </c>
      <c r="U1" s="44" t="s">
        <v>17</v>
      </c>
      <c r="V1" s="3" t="s">
        <v>1</v>
      </c>
      <c r="W1" s="8" t="s">
        <v>2</v>
      </c>
      <c r="X1" s="9" t="s">
        <v>3</v>
      </c>
      <c r="Y1" s="3" t="s">
        <v>4</v>
      </c>
      <c r="Z1" s="1" t="s">
        <v>5</v>
      </c>
      <c r="AA1" s="1" t="s">
        <v>6</v>
      </c>
      <c r="AB1" s="1" t="s">
        <v>7</v>
      </c>
      <c r="AC1" s="3" t="s">
        <v>8</v>
      </c>
      <c r="AD1" s="2" t="s">
        <v>9</v>
      </c>
      <c r="AE1" s="2" t="s">
        <v>10</v>
      </c>
      <c r="AF1" s="17" t="s">
        <v>11</v>
      </c>
      <c r="AG1" s="13" t="s">
        <v>18</v>
      </c>
      <c r="AH1" s="13" t="s">
        <v>19</v>
      </c>
    </row>
    <row r="2" spans="1:34" ht="24.75" customHeight="1" x14ac:dyDescent="0.35">
      <c r="A2" s="45" t="s">
        <v>20</v>
      </c>
      <c r="B2" s="46" t="s">
        <v>21</v>
      </c>
      <c r="C2" s="46" t="s">
        <v>22</v>
      </c>
      <c r="D2" s="46" t="s">
        <v>23</v>
      </c>
      <c r="E2" s="47" t="s">
        <v>24</v>
      </c>
      <c r="F2" s="46" t="s">
        <v>25</v>
      </c>
      <c r="G2" s="46" t="s">
        <v>26</v>
      </c>
      <c r="H2" s="46" t="s">
        <v>27</v>
      </c>
      <c r="I2" s="46" t="s">
        <v>28</v>
      </c>
      <c r="J2" s="48" t="s">
        <v>29</v>
      </c>
      <c r="K2" s="47" t="s">
        <v>30</v>
      </c>
      <c r="L2" s="49" t="s">
        <v>31</v>
      </c>
      <c r="M2" s="49" t="s">
        <v>32</v>
      </c>
      <c r="N2" s="50" t="s">
        <v>33</v>
      </c>
      <c r="O2" s="51"/>
      <c r="P2" s="52" t="s">
        <v>20</v>
      </c>
      <c r="Q2" s="53" t="s">
        <v>34</v>
      </c>
      <c r="R2" s="50" t="s">
        <v>35</v>
      </c>
      <c r="S2" s="54" t="s">
        <v>36</v>
      </c>
      <c r="T2" s="50" t="s">
        <v>37</v>
      </c>
      <c r="U2" s="46" t="s">
        <v>38</v>
      </c>
      <c r="V2" s="46" t="s">
        <v>39</v>
      </c>
      <c r="W2" s="46" t="s">
        <v>40</v>
      </c>
      <c r="X2" s="47" t="s">
        <v>41</v>
      </c>
      <c r="Y2" s="46" t="s">
        <v>42</v>
      </c>
      <c r="Z2" s="46" t="s">
        <v>43</v>
      </c>
      <c r="AA2" s="46" t="s">
        <v>44</v>
      </c>
      <c r="AB2" s="46" t="s">
        <v>45</v>
      </c>
      <c r="AC2" s="46" t="s">
        <v>46</v>
      </c>
      <c r="AD2" s="47" t="s">
        <v>47</v>
      </c>
      <c r="AE2" s="47" t="s">
        <v>48</v>
      </c>
      <c r="AF2" s="49" t="s">
        <v>49</v>
      </c>
      <c r="AG2" s="46" t="s">
        <v>50</v>
      </c>
      <c r="AH2" s="46" t="s">
        <v>51</v>
      </c>
    </row>
    <row r="3" spans="1:34" ht="24.75" customHeight="1" x14ac:dyDescent="0.35">
      <c r="A3" s="45" t="s">
        <v>34</v>
      </c>
      <c r="B3" s="55"/>
      <c r="C3" s="56" t="s">
        <v>52</v>
      </c>
      <c r="D3" s="56" t="s">
        <v>52</v>
      </c>
      <c r="E3" s="56" t="s">
        <v>21</v>
      </c>
      <c r="F3" s="56" t="s">
        <v>21</v>
      </c>
      <c r="G3" s="56" t="s">
        <v>21</v>
      </c>
      <c r="H3" s="56" t="s">
        <v>52</v>
      </c>
      <c r="I3" s="56" t="s">
        <v>52</v>
      </c>
      <c r="J3" s="56" t="s">
        <v>21</v>
      </c>
      <c r="K3" s="56" t="s">
        <v>21</v>
      </c>
      <c r="L3" s="57" t="s">
        <v>21</v>
      </c>
      <c r="M3" s="57" t="s">
        <v>21</v>
      </c>
      <c r="N3" s="50"/>
      <c r="O3" s="51" t="s">
        <v>53</v>
      </c>
      <c r="P3" s="52"/>
      <c r="Q3" s="53"/>
      <c r="R3" s="74"/>
      <c r="S3" s="58"/>
      <c r="T3" s="59"/>
      <c r="U3" s="55"/>
      <c r="V3" s="56" t="s">
        <v>38</v>
      </c>
      <c r="W3" s="56" t="s">
        <v>38</v>
      </c>
      <c r="X3" s="56" t="s">
        <v>38</v>
      </c>
      <c r="Y3" s="56" t="s">
        <v>38</v>
      </c>
      <c r="Z3" s="56" t="s">
        <v>38</v>
      </c>
      <c r="AA3" s="56" t="s">
        <v>38</v>
      </c>
      <c r="AB3" s="56" t="s">
        <v>54</v>
      </c>
      <c r="AC3" s="56" t="s">
        <v>38</v>
      </c>
      <c r="AD3" s="56" t="s">
        <v>38</v>
      </c>
      <c r="AE3" s="56" t="s">
        <v>38</v>
      </c>
      <c r="AF3" s="57" t="s">
        <v>38</v>
      </c>
      <c r="AG3" s="56"/>
      <c r="AH3" s="56"/>
    </row>
    <row r="4" spans="1:34" ht="24.75" customHeight="1" x14ac:dyDescent="0.35">
      <c r="A4" s="72" t="s">
        <v>55</v>
      </c>
      <c r="B4" s="72"/>
      <c r="C4" s="56"/>
      <c r="D4" s="56"/>
      <c r="E4" s="56"/>
      <c r="F4" s="56"/>
      <c r="G4" s="56"/>
      <c r="H4" s="56"/>
      <c r="I4" s="56"/>
      <c r="J4" s="56"/>
      <c r="K4" s="56"/>
      <c r="L4" s="57"/>
      <c r="M4" s="57"/>
      <c r="N4" s="50"/>
      <c r="O4" s="51"/>
      <c r="P4" s="73"/>
      <c r="Q4" s="53"/>
      <c r="R4" s="74"/>
      <c r="S4" s="58"/>
      <c r="T4" s="59"/>
      <c r="U4" s="55">
        <f>B4</f>
        <v>0</v>
      </c>
      <c r="V4" s="56"/>
      <c r="W4" s="56"/>
      <c r="X4" s="56"/>
      <c r="Y4" s="56"/>
      <c r="Z4" s="56"/>
      <c r="AA4" s="56"/>
      <c r="AB4" s="56"/>
      <c r="AC4" s="56"/>
      <c r="AD4" s="56"/>
      <c r="AE4" s="56"/>
      <c r="AF4" s="57"/>
      <c r="AG4" s="56">
        <f>U4</f>
        <v>0</v>
      </c>
      <c r="AH4" s="56">
        <f>U4</f>
        <v>0</v>
      </c>
    </row>
    <row r="5" spans="1:34" x14ac:dyDescent="0.35">
      <c r="C5" s="14"/>
      <c r="D5" s="14"/>
      <c r="E5" s="14"/>
      <c r="F5" s="14"/>
      <c r="G5" s="14"/>
      <c r="H5" s="14"/>
      <c r="I5" s="14"/>
      <c r="J5" s="14"/>
      <c r="K5" s="14"/>
      <c r="L5" s="14"/>
      <c r="M5" s="14"/>
      <c r="N5" s="23">
        <f>SUM(C5:M5)</f>
        <v>0</v>
      </c>
      <c r="O5" s="10" t="s">
        <v>56</v>
      </c>
      <c r="P5" s="62" t="s">
        <v>57</v>
      </c>
      <c r="Q5" s="63"/>
      <c r="R5" s="63"/>
      <c r="S5" s="24">
        <f>SUM(V5:AF5)</f>
        <v>301247.90513217868</v>
      </c>
      <c r="T5" s="37"/>
      <c r="U5" s="61"/>
      <c r="V5" s="14">
        <f>-(C6+C5)</f>
        <v>112277.29887593046</v>
      </c>
      <c r="W5" s="14">
        <f>-(D6+D5)</f>
        <v>77712.937984907709</v>
      </c>
      <c r="X5" s="14"/>
      <c r="Y5" s="14">
        <f>-(F6+F5)</f>
        <v>64433.012096111299</v>
      </c>
      <c r="Z5" s="14">
        <f>-(G6+G5)</f>
        <v>8674.2850745750366</v>
      </c>
      <c r="AA5" s="14"/>
      <c r="AB5" s="14"/>
      <c r="AC5" s="14">
        <f>-(J6+J5)</f>
        <v>38150.371100654214</v>
      </c>
      <c r="AD5" s="14"/>
      <c r="AE5" s="14"/>
      <c r="AF5" s="14"/>
      <c r="AG5" s="14"/>
      <c r="AH5" s="14"/>
    </row>
    <row r="6" spans="1:34" x14ac:dyDescent="0.35">
      <c r="C6" s="14">
        <f>-V6</f>
        <v>-112277.29887593046</v>
      </c>
      <c r="D6" s="14">
        <f>-W6</f>
        <v>-77712.937984907709</v>
      </c>
      <c r="E6" s="14"/>
      <c r="F6" s="14">
        <f>-Y6</f>
        <v>-64433.012096111299</v>
      </c>
      <c r="G6" s="14">
        <f>-Z6</f>
        <v>-8674.2850745750366</v>
      </c>
      <c r="H6" s="14"/>
      <c r="I6" s="14"/>
      <c r="J6" s="14">
        <f>-AC6</f>
        <v>-38150.371100654214</v>
      </c>
      <c r="K6" s="14"/>
      <c r="L6" s="18"/>
      <c r="M6" s="18"/>
      <c r="N6" s="23">
        <f t="shared" ref="N6:N15" si="0">SUM(C6:M6)</f>
        <v>-301247.90513217868</v>
      </c>
      <c r="O6" s="22" t="s">
        <v>58</v>
      </c>
      <c r="P6" s="65" t="s">
        <v>59</v>
      </c>
      <c r="Q6" s="66"/>
      <c r="R6" s="66"/>
      <c r="S6" s="24">
        <f t="shared" ref="S6:S25" si="1">SUM(V6:AF6)</f>
        <v>301247.90513217868</v>
      </c>
      <c r="T6" s="37"/>
      <c r="U6" s="61"/>
      <c r="V6" s="14">
        <f>-(C16+C8)</f>
        <v>112277.29887593046</v>
      </c>
      <c r="W6" s="14">
        <f>-(D16+D8)</f>
        <v>77712.937984907709</v>
      </c>
      <c r="X6" s="14"/>
      <c r="Y6" s="14">
        <f>-(F16+F8)</f>
        <v>64433.012096111299</v>
      </c>
      <c r="Z6" s="14">
        <f>-(G16+G8)</f>
        <v>8674.2850745750366</v>
      </c>
      <c r="AA6" s="14"/>
      <c r="AB6" s="14"/>
      <c r="AC6" s="14">
        <f>-(J16+J8)</f>
        <v>38150.371100654214</v>
      </c>
      <c r="AD6" s="14"/>
      <c r="AE6" s="14"/>
      <c r="AF6" s="14"/>
      <c r="AG6" s="21">
        <f>-(N6+S6)</f>
        <v>0</v>
      </c>
      <c r="AH6" s="21"/>
    </row>
    <row r="7" spans="1:34" x14ac:dyDescent="0.35"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23">
        <f t="shared" si="0"/>
        <v>0</v>
      </c>
      <c r="O7" s="22" t="s">
        <v>60</v>
      </c>
      <c r="P7" s="67" t="s">
        <v>61</v>
      </c>
      <c r="Q7" s="66"/>
      <c r="R7" s="66"/>
      <c r="S7" s="24">
        <f t="shared" si="1"/>
        <v>14428.392576769158</v>
      </c>
      <c r="T7" s="37"/>
      <c r="U7" s="61"/>
      <c r="V7" s="14"/>
      <c r="W7" s="14"/>
      <c r="X7" s="14"/>
      <c r="Y7" s="14"/>
      <c r="Z7" s="16"/>
      <c r="AA7" s="19">
        <f>-H8</f>
        <v>9922.2717710777579</v>
      </c>
      <c r="AB7" s="19">
        <f>-I8</f>
        <v>4506.1208056914002</v>
      </c>
      <c r="AC7" s="14"/>
      <c r="AD7" s="14"/>
      <c r="AE7" s="14"/>
      <c r="AF7" s="14"/>
      <c r="AG7" s="14"/>
      <c r="AH7" s="14"/>
    </row>
    <row r="8" spans="1:34" x14ac:dyDescent="0.35">
      <c r="C8" s="14">
        <f>SUM(C9:C13)</f>
        <v>-76906.592469969124</v>
      </c>
      <c r="D8" s="14">
        <f t="shared" ref="D8:M8" si="2">SUM(D9:D13)</f>
        <v>-77609.849120907704</v>
      </c>
      <c r="E8" s="14">
        <f t="shared" si="2"/>
        <v>-9680.201183160254</v>
      </c>
      <c r="F8" s="14">
        <f t="shared" si="2"/>
        <v>-36357.382134685497</v>
      </c>
      <c r="G8" s="14">
        <f t="shared" si="2"/>
        <v>-8674.2850745750366</v>
      </c>
      <c r="H8" s="14">
        <f t="shared" si="2"/>
        <v>-9922.2717710777579</v>
      </c>
      <c r="I8" s="14">
        <f t="shared" si="2"/>
        <v>-4506.1208056914002</v>
      </c>
      <c r="J8" s="14">
        <f t="shared" si="2"/>
        <v>-4852.1683848265502</v>
      </c>
      <c r="K8" s="14">
        <f t="shared" si="2"/>
        <v>-5081.2259034898825</v>
      </c>
      <c r="L8" s="14">
        <f t="shared" si="2"/>
        <v>-1295.5615519999999</v>
      </c>
      <c r="M8" s="14">
        <f t="shared" si="2"/>
        <v>0</v>
      </c>
      <c r="N8" s="23">
        <f t="shared" si="0"/>
        <v>-234885.65840038322</v>
      </c>
      <c r="O8" s="22" t="s">
        <v>62</v>
      </c>
      <c r="P8" s="67" t="s">
        <v>63</v>
      </c>
      <c r="Q8" s="66"/>
      <c r="R8" s="66"/>
      <c r="S8" s="24">
        <f t="shared" si="1"/>
        <v>140533.31713703382</v>
      </c>
      <c r="T8" s="37"/>
      <c r="U8" s="61"/>
      <c r="V8" s="14">
        <f>SUM(V9:V13)</f>
        <v>0</v>
      </c>
      <c r="W8" s="14"/>
      <c r="X8" s="14">
        <f>(E14+E8)*-1</f>
        <v>73224.111888300438</v>
      </c>
      <c r="Y8" s="14"/>
      <c r="Z8" s="14"/>
      <c r="AA8" s="14"/>
      <c r="AB8" s="14"/>
      <c r="AC8" s="14"/>
      <c r="AD8" s="14">
        <f>(K14+K8)*-1</f>
        <v>55346.136291582181</v>
      </c>
      <c r="AE8" s="14">
        <f>(L14+L8)*-1</f>
        <v>11963.068957151203</v>
      </c>
      <c r="AF8" s="14"/>
      <c r="AG8" s="21">
        <f>-(N8+S8)</f>
        <v>94352.341263349401</v>
      </c>
      <c r="AH8" s="21">
        <f>SUM(AH9:AH13)</f>
        <v>10114.192356244321</v>
      </c>
    </row>
    <row r="9" spans="1:34" x14ac:dyDescent="0.35">
      <c r="C9" s="26">
        <f>-($AD$9+$H$9+$I$9)/$T$9*'KF Non-OECD total'!$I109</f>
        <v>-47561.811037887885</v>
      </c>
      <c r="D9" s="26">
        <f>-($AD$9+$H$9+$I$9)/$T$9*'KF Non-OECD total'!$I110</f>
        <v>-1238.8155790978101</v>
      </c>
      <c r="E9" s="26">
        <f>-($AD$9+$H$9+$I$9)/$T$9*'KF Non-OECD total'!$I111</f>
        <v>-4472.7315391176235</v>
      </c>
      <c r="F9" s="26">
        <f>-($AD$9+$H$9+$I$9)/$T$9*'KF Non-OECD total'!$I112</f>
        <v>-19310.910294856138</v>
      </c>
      <c r="G9" s="26">
        <f>-($AD$9+$H$9+$I$9)/$T$9*'KF Non-OECD total'!$I113</f>
        <v>-7780.0787591914332</v>
      </c>
      <c r="H9" s="26">
        <f>AD9*'KF Non-OECD total'!I94*-1</f>
        <v>-9922.2717710777579</v>
      </c>
      <c r="I9" s="26">
        <f>AD9*'KF Non-OECD total'!I95*-1</f>
        <v>-4505.5251730459886</v>
      </c>
      <c r="J9" s="26">
        <f>-($AD$9+$H$9+$I$9)/$T$9*'KF Non-OECD total'!$I114</f>
        <v>-3423.6610291026086</v>
      </c>
      <c r="K9" s="25"/>
      <c r="L9" s="25"/>
      <c r="M9" s="25"/>
      <c r="N9" s="23">
        <f t="shared" si="0"/>
        <v>-98215.805183377248</v>
      </c>
      <c r="O9" s="6" t="s">
        <v>64</v>
      </c>
      <c r="P9" s="68" t="s">
        <v>65</v>
      </c>
      <c r="Q9" s="69" t="s">
        <v>63</v>
      </c>
      <c r="R9" s="69"/>
      <c r="S9" s="24">
        <f t="shared" si="1"/>
        <v>44288.769316968574</v>
      </c>
      <c r="T9" s="37">
        <f>'KF Non-OECD total'!I104</f>
        <v>0.35638718475772746</v>
      </c>
      <c r="U9" s="61"/>
      <c r="V9" s="28"/>
      <c r="W9" s="28"/>
      <c r="X9" s="28"/>
      <c r="Y9" s="28"/>
      <c r="Z9" s="28"/>
      <c r="AA9" s="28"/>
      <c r="AB9" s="28"/>
      <c r="AC9" s="28"/>
      <c r="AD9" s="28">
        <f>AD8-AD10</f>
        <v>44288.769316968574</v>
      </c>
      <c r="AE9" s="28"/>
      <c r="AF9" s="28"/>
      <c r="AG9" s="29">
        <f>-(S9+N9)</f>
        <v>53927.035866408674</v>
      </c>
      <c r="AH9" s="29">
        <f>-(C9*Emissionsfaktorer!$B$2*(1-'KF Non-OECD total'!I134)+D9*Emissionsfaktorer!$B$3+E9*Emissionsfaktorer!$B$4*(1-'KF Non-OECD total'!I135)+F9*Emissionsfaktorer!$B$5*(1-'KF Non-OECD total'!I136)+G9*Emissionsfaktorer!$B$6+H9*Emissionsfaktorer!$B$7+I9*Emissionsfaktorer!$B$8-J9*Emissionsfaktorer!B13*'KF Non-OECD total'!I137+K9*Emissionsfaktorer!$B$10+L9*Emissionsfaktorer!$B$11+M9*Emissionsfaktorer!$B$12)</f>
        <v>5959.021532379089</v>
      </c>
    </row>
    <row r="10" spans="1:34" x14ac:dyDescent="0.35">
      <c r="C10" s="26">
        <f>-($AD$10+$AE$10+$H$10+$I$10)/IF($T$10=0,1,T10)*'KF Non-OECD total'!$I116</f>
        <v>-25810.843743126698</v>
      </c>
      <c r="D10" s="26">
        <f>-($AD$10+$AE$10+$H$10+$I$10)/IF($T$10=0,1,T10)*'KF Non-OECD total'!$I117</f>
        <v>-0.89342675693715456</v>
      </c>
      <c r="E10" s="26">
        <f>-($AD$10+$AE$10+$H$10+$I$10)/IF($T$10=0,1,T10)*'KF Non-OECD total'!$I118</f>
        <v>-187.66216308808518</v>
      </c>
      <c r="F10" s="26">
        <f>-($AD$10+$AE$10+$H$10+$I$10)/IF($T$10=0,1,T10)*'KF Non-OECD total'!$I119</f>
        <v>-9304.1887908748104</v>
      </c>
      <c r="G10" s="26">
        <f>-($AD$10+$AE$10+$H$10+$I$10)/IF($T$10=0,1,T10)*'KF Non-OECD total'!$I120</f>
        <v>-21.527330429057152</v>
      </c>
      <c r="H10" s="26"/>
      <c r="I10" s="26">
        <f>(AD10+AE10)*'KF Non-OECD total'!I98*-1</f>
        <v>0</v>
      </c>
      <c r="J10" s="26">
        <f>-($AD$10+$AE$10+$H$10+$I$10)/IF($T$10=0,1,T10)*'KF Non-OECD total'!$I121</f>
        <v>-613.14602004658423</v>
      </c>
      <c r="K10" s="25"/>
      <c r="L10" s="25"/>
      <c r="M10" s="25"/>
      <c r="N10" s="23">
        <f t="shared" si="0"/>
        <v>-35938.261474322171</v>
      </c>
      <c r="O10" s="6" t="s">
        <v>66</v>
      </c>
      <c r="P10" s="68" t="s">
        <v>67</v>
      </c>
      <c r="Q10" s="69" t="s">
        <v>63</v>
      </c>
      <c r="R10" s="69"/>
      <c r="S10" s="24">
        <f t="shared" si="1"/>
        <v>19505.437510433949</v>
      </c>
      <c r="T10" s="37">
        <f>'KF Non-OECD total'!I105</f>
        <v>0.54274850007339814</v>
      </c>
      <c r="U10" s="61"/>
      <c r="V10" s="28"/>
      <c r="W10" s="28"/>
      <c r="X10" s="28"/>
      <c r="Y10" s="28"/>
      <c r="Z10" s="28"/>
      <c r="AA10" s="28"/>
      <c r="AB10" s="28"/>
      <c r="AC10" s="28"/>
      <c r="AD10" s="28">
        <f>AE10*'KF Non-OECD total'!I90</f>
        <v>11057.366974613606</v>
      </c>
      <c r="AE10" s="28">
        <f>AE8*'KF Non-OECD total'!I85</f>
        <v>8448.0705358203431</v>
      </c>
      <c r="AF10" s="28"/>
      <c r="AG10" s="29">
        <f t="shared" ref="AG10:AG11" si="3">-(S10+N10)</f>
        <v>16432.823963888222</v>
      </c>
      <c r="AH10" s="29">
        <f>-(C10*Emissionsfaktorer!$B$2*(1-'KF Non-OECD total'!I135)+D10*Emissionsfaktorer!$B$3+E10*Emissionsfaktorer!$B$4*(1-'KF Non-OECD total'!I136)+F10*Emissionsfaktorer!$B$5*(1-'KF Non-OECD total'!I137)+G10*Emissionsfaktorer!$B$6+H10*Emissionsfaktorer!$B$7+I10*Emissionsfaktorer!$B$8-J10*Emissionsfaktorer!B14*'KF Non-OECD total'!I142+K10*Emissionsfaktorer!$B$10+L10*Emissionsfaktorer!$B$11+M10*Emissionsfaktorer!$B$12)</f>
        <v>2996.631241071595</v>
      </c>
    </row>
    <row r="11" spans="1:34" x14ac:dyDescent="0.35">
      <c r="C11" s="26">
        <f>-($AE$11+$H$11+$I$11)/IF($T$11=0,1,$T$11)*'KF Non-OECD total'!$I123</f>
        <v>-872.67898495454574</v>
      </c>
      <c r="D11" s="26">
        <f>-($AE$11+$H$11+$I$11)/IF($T$11=0,1,$T$11)*'KF Non-OECD total'!$I123</f>
        <v>-872.67898495454574</v>
      </c>
      <c r="E11" s="26">
        <f>-($AE$11+$H$11+$I$11)/IF($T$11=0,1,$T$11)*'KF Non-OECD total'!$I123</f>
        <v>-872.67898495454574</v>
      </c>
      <c r="F11" s="26">
        <f>-($AE$11+$H$11+$I$11)/IF($T$11=0,1,$T$11)*'KF Non-OECD total'!$I123</f>
        <v>-872.67898495454574</v>
      </c>
      <c r="G11" s="26">
        <f>-($AE$11+$H$11+$I$11)/IF($T$11=0,1,$T$11)*'KF Non-OECD total'!$I123</f>
        <v>-872.67898495454574</v>
      </c>
      <c r="H11" s="26"/>
      <c r="I11" s="26">
        <f>AE11*'KF Non-OECD total'!I101*-1</f>
        <v>-0.59563264541179939</v>
      </c>
      <c r="J11" s="26">
        <f>-($AE$11+$H$11+$I$11)/IF($T$11=0,1,$T$11)*'KF Non-OECD total'!$I128</f>
        <v>-204.32323967735763</v>
      </c>
      <c r="K11" s="28">
        <f>AE11*'KF Non-OECD total'!I88*-1</f>
        <v>-14.295183489883186</v>
      </c>
      <c r="L11" s="25"/>
      <c r="M11" s="25"/>
      <c r="N11" s="23">
        <f t="shared" si="0"/>
        <v>-4582.6089805853808</v>
      </c>
      <c r="O11" s="6" t="s">
        <v>68</v>
      </c>
      <c r="P11" s="64" t="s">
        <v>69</v>
      </c>
      <c r="Q11" s="69" t="s">
        <v>63</v>
      </c>
      <c r="R11" s="69"/>
      <c r="S11" s="24">
        <f t="shared" si="1"/>
        <v>3514.9984213308603</v>
      </c>
      <c r="T11" s="37">
        <f>'KF Non-OECD total'!I106</f>
        <v>0.96164099698483108</v>
      </c>
      <c r="U11" s="61"/>
      <c r="V11" s="28"/>
      <c r="W11" s="28"/>
      <c r="X11" s="28"/>
      <c r="Y11" s="28"/>
      <c r="Z11" s="28"/>
      <c r="AA11" s="28"/>
      <c r="AB11" s="28"/>
      <c r="AC11" s="28"/>
      <c r="AD11" s="28"/>
      <c r="AE11" s="28">
        <f>AE8*'KF Non-OECD total'!I86</f>
        <v>3514.9984213308603</v>
      </c>
      <c r="AF11" s="28"/>
      <c r="AG11" s="29">
        <f t="shared" si="3"/>
        <v>1067.6105592545205</v>
      </c>
      <c r="AH11" s="29">
        <f>-(C11*Emissionsfaktorer!$B$2+D11*Emissionsfaktorer!$B$3+E11*Emissionsfaktorer!$B$4+F11*Emissionsfaktorer!$B$5+G11*Emissionsfaktorer!$B$6+H11*Emissionsfaktorer!$B$7+I11*Emissionsfaktorer!$B$8+J11*Emissionsfaktorer!$B$9+K11*Emissionsfaktorer!$B$10+L11*Emissionsfaktorer!$B$11+M11*Emissionsfaktorer!$B$12)</f>
        <v>198.97080856963643</v>
      </c>
    </row>
    <row r="12" spans="1:34" x14ac:dyDescent="0.35">
      <c r="C12" s="26"/>
      <c r="D12" s="26">
        <f>-X12/IF(T12=0,1,T12)*'KF Non-OECD total'!I130</f>
        <v>-75087.952970098413</v>
      </c>
      <c r="E12" s="25"/>
      <c r="F12" s="26"/>
      <c r="G12" s="26"/>
      <c r="H12" s="26"/>
      <c r="I12" s="26"/>
      <c r="J12" s="27">
        <f>-X12/IF(T12=0,1,T12)*'KF Non-OECD total'!I131</f>
        <v>0</v>
      </c>
      <c r="K12" s="25"/>
      <c r="L12" s="25"/>
      <c r="M12" s="25"/>
      <c r="N12" s="23">
        <f t="shared" si="0"/>
        <v>-75087.952970098413</v>
      </c>
      <c r="O12" s="6" t="s">
        <v>70</v>
      </c>
      <c r="P12" s="64" t="s">
        <v>71</v>
      </c>
      <c r="Q12" s="69" t="s">
        <v>63</v>
      </c>
      <c r="R12" s="69"/>
      <c r="S12" s="24">
        <f t="shared" si="1"/>
        <v>73224.111888300438</v>
      </c>
      <c r="T12" s="37">
        <f>'KF Non-OECD total'!I107</f>
        <v>0.97517789461459681</v>
      </c>
      <c r="U12" s="61"/>
      <c r="V12" s="28"/>
      <c r="W12" s="28"/>
      <c r="X12" s="28">
        <f>-(E9+E10+E11+E13+E14)</f>
        <v>73224.111888300438</v>
      </c>
      <c r="Y12" s="28"/>
      <c r="Z12" s="28"/>
      <c r="AA12" s="28"/>
      <c r="AB12" s="28"/>
      <c r="AC12" s="28"/>
      <c r="AD12" s="28"/>
      <c r="AE12" s="28"/>
      <c r="AF12" s="28"/>
      <c r="AG12" s="29">
        <f>-(S12+N12)</f>
        <v>1863.8410817979748</v>
      </c>
      <c r="AH12" s="29">
        <f>J12*Emissionsfaktorer!B4</f>
        <v>0</v>
      </c>
    </row>
    <row r="13" spans="1:34" x14ac:dyDescent="0.35">
      <c r="C13" s="28">
        <f>N13*'KF Non-OECD total'!I79</f>
        <v>-2661.2587039999999</v>
      </c>
      <c r="D13" s="28">
        <f>N13*'KF Non-OECD total'!I81</f>
        <v>-409.50815999999992</v>
      </c>
      <c r="E13" s="28">
        <f>N13*'KF Non-OECD total'!I82</f>
        <v>-4147.1284959999994</v>
      </c>
      <c r="F13" s="28">
        <f>N13*'KF Non-OECD total'!I80</f>
        <v>-6869.6040639999992</v>
      </c>
      <c r="G13" s="28"/>
      <c r="H13" s="28"/>
      <c r="I13" s="28"/>
      <c r="J13" s="36">
        <f>N13*'KF Non-OECD total'!I83</f>
        <v>-611.038096</v>
      </c>
      <c r="K13" s="28">
        <f>N13*'KF Non-OECD total'!I77</f>
        <v>-5066.9307199999994</v>
      </c>
      <c r="L13" s="28">
        <f>N13*'KF Non-OECD total'!I78</f>
        <v>-1295.5615519999999</v>
      </c>
      <c r="M13" s="25"/>
      <c r="N13" s="23">
        <f>N16*'KF Non-OECD total'!I75</f>
        <v>-21061.029791999998</v>
      </c>
      <c r="O13" s="6" t="s">
        <v>72</v>
      </c>
      <c r="P13" s="64" t="s">
        <v>73</v>
      </c>
      <c r="Q13" s="69" t="s">
        <v>63</v>
      </c>
      <c r="R13" s="69"/>
      <c r="S13" s="24">
        <f t="shared" si="1"/>
        <v>0</v>
      </c>
      <c r="T13" s="37">
        <v>0</v>
      </c>
      <c r="U13" s="61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9">
        <f>-(S13+N13)</f>
        <v>21061.029791999998</v>
      </c>
      <c r="AH13" s="29">
        <f>-(C13*Emissionsfaktorer!$B$2+D13*Emissionsfaktorer!$B$3+E13*Emissionsfaktorer!$B$4+F13*Emissionsfaktorer!$B$5+G13*Emissionsfaktorer!$B$6+H13*Emissionsfaktorer!$B$7+I13*Emissionsfaktorer!$B$8+J13*Emissionsfaktorer!$B$9+K13*Emissionsfaktorer!$B$10+L13*Emissionsfaktorer!$B$11+M13*Emissionsfaktorer!$B$12)</f>
        <v>959.56877422399998</v>
      </c>
    </row>
    <row r="14" spans="1:34" x14ac:dyDescent="0.35">
      <c r="C14" s="15"/>
      <c r="D14" s="15"/>
      <c r="E14" s="16">
        <f>-X14*1</f>
        <v>-63543.910705140188</v>
      </c>
      <c r="F14" s="15"/>
      <c r="G14" s="15"/>
      <c r="H14" s="15"/>
      <c r="I14" s="15"/>
      <c r="J14" s="20"/>
      <c r="K14" s="16">
        <f>-AD14*(1+'KF Non-OECD total'!I72)</f>
        <v>-50264.910388092299</v>
      </c>
      <c r="L14" s="16">
        <f>-AE14*(1+'KF Non-OECD total'!I73)</f>
        <v>-10667.507405151204</v>
      </c>
      <c r="M14" s="16"/>
      <c r="N14" s="23">
        <f t="shared" si="0"/>
        <v>-124476.32849838369</v>
      </c>
      <c r="O14" s="22" t="s">
        <v>74</v>
      </c>
      <c r="P14" s="66" t="s">
        <v>75</v>
      </c>
      <c r="Q14" s="70"/>
      <c r="R14" s="70"/>
      <c r="S14" s="24">
        <f t="shared" si="1"/>
        <v>118916.1460562093</v>
      </c>
      <c r="T14" s="37"/>
      <c r="U14" s="61"/>
      <c r="V14" s="16"/>
      <c r="W14" s="16"/>
      <c r="X14" s="16">
        <f>-E16</f>
        <v>63543.910705140188</v>
      </c>
      <c r="Y14" s="16"/>
      <c r="Z14" s="16"/>
      <c r="AA14" s="16"/>
      <c r="AB14" s="16"/>
      <c r="AC14" s="16"/>
      <c r="AD14" s="16">
        <f>-K16</f>
        <v>45318.696352416962</v>
      </c>
      <c r="AE14" s="16">
        <f>-L16</f>
        <v>10053.538998652148</v>
      </c>
      <c r="AF14" s="16"/>
      <c r="AG14" s="21">
        <f>-(N14+S14)</f>
        <v>5560.182442174395</v>
      </c>
      <c r="AH14" s="21"/>
    </row>
    <row r="15" spans="1:34" x14ac:dyDescent="0.35"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23">
        <f t="shared" si="0"/>
        <v>0</v>
      </c>
      <c r="O15" s="22" t="s">
        <v>76</v>
      </c>
      <c r="P15" s="67" t="s">
        <v>77</v>
      </c>
      <c r="Q15" s="66"/>
      <c r="R15" s="66"/>
      <c r="S15" s="24">
        <f t="shared" si="1"/>
        <v>1550.0981954120803</v>
      </c>
      <c r="T15" s="37"/>
      <c r="U15" s="61"/>
      <c r="V15" s="14"/>
      <c r="W15" s="14"/>
      <c r="X15" s="14"/>
      <c r="Y15" s="14"/>
      <c r="Z15" s="14"/>
      <c r="AA15" s="14"/>
      <c r="AB15" s="14">
        <f>I16*-1</f>
        <v>1550.0981954120803</v>
      </c>
      <c r="AC15" s="14"/>
      <c r="AD15" s="14"/>
      <c r="AE15" s="14"/>
      <c r="AF15" s="14"/>
      <c r="AG15" s="14"/>
      <c r="AH15" s="14"/>
    </row>
    <row r="16" spans="1:34" x14ac:dyDescent="0.35">
      <c r="C16" s="14">
        <f t="shared" ref="C16:M16" si="4">SUM(C17:C19)</f>
        <v>-35370.706405961333</v>
      </c>
      <c r="D16" s="14">
        <f t="shared" si="4"/>
        <v>-103.088864</v>
      </c>
      <c r="E16" s="14">
        <f t="shared" si="4"/>
        <v>-63543.910705140188</v>
      </c>
      <c r="F16" s="14">
        <f t="shared" si="4"/>
        <v>-28075.629961425802</v>
      </c>
      <c r="G16" s="14">
        <f t="shared" si="4"/>
        <v>0</v>
      </c>
      <c r="H16" s="14">
        <f t="shared" si="4"/>
        <v>0</v>
      </c>
      <c r="I16" s="14">
        <f t="shared" si="4"/>
        <v>-1550.0981954120803</v>
      </c>
      <c r="J16" s="14">
        <f t="shared" si="4"/>
        <v>-33298.202715827661</v>
      </c>
      <c r="K16" s="14">
        <f t="shared" si="4"/>
        <v>-45318.696352416962</v>
      </c>
      <c r="L16" s="14">
        <f t="shared" si="4"/>
        <v>-10053.538998652148</v>
      </c>
      <c r="M16" s="14">
        <f t="shared" si="4"/>
        <v>0</v>
      </c>
      <c r="N16" s="23">
        <f>'KF Non-OECD total'!I5</f>
        <v>-217316.85241600001</v>
      </c>
      <c r="O16" s="10" t="s">
        <v>78</v>
      </c>
      <c r="P16" s="71" t="s">
        <v>79</v>
      </c>
      <c r="Q16" s="71"/>
      <c r="R16" s="71"/>
      <c r="S16" s="24">
        <f t="shared" si="1"/>
        <v>156539.07286320001</v>
      </c>
      <c r="T16" s="37"/>
      <c r="U16" s="61"/>
      <c r="V16" s="14"/>
      <c r="W16" s="14"/>
      <c r="X16" s="14"/>
      <c r="Y16" s="14"/>
      <c r="Z16" s="14"/>
      <c r="AA16" s="14"/>
      <c r="AB16" s="14"/>
      <c r="AC16" s="14"/>
      <c r="AD16" s="14"/>
      <c r="AE16" s="14"/>
      <c r="AF16" s="14">
        <f>SUM(AF17:AF19)</f>
        <v>156539.07286320001</v>
      </c>
      <c r="AG16" s="14">
        <f t="shared" ref="AG16:AH16" si="5">SUM(AG17:AG19)</f>
        <v>60774.799335636155</v>
      </c>
      <c r="AH16" s="14">
        <f t="shared" si="5"/>
        <v>9789.86522995825</v>
      </c>
    </row>
    <row r="17" spans="3:34" x14ac:dyDescent="0.35">
      <c r="C17" s="25">
        <f>AF17*'KF Non-OECD total'!I15/T17*'KF Non-OECD total'!I139/'KF Non-OECD total'!I$139*-1</f>
        <v>-29914.654832000004</v>
      </c>
      <c r="D17" s="25">
        <f>AF17*'KF Non-OECD total'!I16/T17*'KF Non-OECD total'!I139/'KF Non-OECD total'!I$139*-1</f>
        <v>-103.088864</v>
      </c>
      <c r="E17" s="25">
        <f>AF17*'KF Non-OECD total'!I17/T17*'KF Non-OECD total'!I139/'KF Non-OECD total'!I$139*-1</f>
        <v>-8264.4022559999994</v>
      </c>
      <c r="F17" s="25">
        <f>AF17*'KF Non-OECD total'!I18/T17*'KF Non-OECD total'!I139/'KF Non-OECD total'!I$139*-1</f>
        <v>-13200.77608</v>
      </c>
      <c r="G17" s="25"/>
      <c r="H17" s="25"/>
      <c r="I17" s="25">
        <f>AF17*'KF Non-OECD total'!I19/T17*'KF Non-OECD total'!I142/'KF Non-OECD total'!I$142*-1</f>
        <v>-22.945855999999999</v>
      </c>
      <c r="J17" s="25">
        <f>AF17*'KF Non-OECD total'!I20*'KF Non-OECD total'!I139/T17/'KF Non-OECD total'!I$139*-1</f>
        <v>-5126.8495519999997</v>
      </c>
      <c r="K17" s="25">
        <f>AF17*'KF Non-OECD total'!I21*'KF Non-OECD total'!I141/T17/'KF Non-OECD total'!I$141*-1</f>
        <v>-22600.788847999997</v>
      </c>
      <c r="L17" s="25">
        <f>AF17*'KF Non-OECD total'!I22*'KF Non-OECD total'!I142/T17/'KF Non-OECD total'!I$142*-1</f>
        <v>-4877.4599200000002</v>
      </c>
      <c r="M17" s="25"/>
      <c r="N17" s="23">
        <f>SUM(C17:L17)</f>
        <v>-84110.966207999998</v>
      </c>
      <c r="O17" s="6" t="s">
        <v>80</v>
      </c>
      <c r="P17" s="64" t="s">
        <v>81</v>
      </c>
      <c r="Q17" s="69" t="s">
        <v>79</v>
      </c>
      <c r="R17" s="69"/>
      <c r="S17" s="24">
        <f t="shared" si="1"/>
        <v>71658.972448799992</v>
      </c>
      <c r="T17" s="37">
        <f>('KF Non-OECD total'!I15+'KF Non-OECD total'!I16+'KF Non-OECD total'!I17+'KF Non-OECD total'!I18+'KF Non-OECD total'!I20)*'KF Non-OECD total'!I139+('KF Non-OECD total'!I19+'KF Non-OECD total'!I22)*'KF Non-OECD total'!I142+'KF Non-OECD total'!I21*'KF Non-OECD total'!I141</f>
        <v>0.85195754702891913</v>
      </c>
      <c r="U17" s="61"/>
      <c r="V17" s="25"/>
      <c r="W17" s="25"/>
      <c r="X17" s="25"/>
      <c r="Y17" s="25"/>
      <c r="Z17" s="25"/>
      <c r="AA17" s="25"/>
      <c r="AB17" s="25"/>
      <c r="AC17" s="25"/>
      <c r="AD17" s="25"/>
      <c r="AE17" s="25"/>
      <c r="AF17" s="25">
        <f>'KF Non-OECD total'!I5*'KF Non-OECD total'!I7*(('KF Non-OECD total'!G15+'KF Non-OECD total'!G16+'KF Non-OECD total'!G17+'KF Non-OECD total'!G18+'KF Non-OECD total'!G20)*'KF Non-OECD total'!G139+('KF Non-OECD total'!G19+'KF Non-OECD total'!G22)*'KF Non-OECD total'!G142+'KF Non-OECD total'!G21*'KF Non-OECD total'!G141)*-1</f>
        <v>71658.972448799992</v>
      </c>
      <c r="AG17" s="25">
        <f>(S17+SUM(C17:M17))*-1</f>
        <v>12451.993759200006</v>
      </c>
      <c r="AH17" s="29">
        <f>-(C17*Emissionsfaktorer!$B$2+D17*Emissionsfaktorer!$B$3+E17*Emissionsfaktorer!$B$4+F17*Emissionsfaktorer!$B$5+G17*Emissionsfaktorer!$B$6+H17*Emissionsfaktorer!$B$7+I17*Emissionsfaktorer!$B$8+J17*Emissionsfaktorer!$B$9+K17*Emissionsfaktorer!$B$10+L17*Emissionsfaktorer!$B$11+M17*Emissionsfaktorer!$B$12)</f>
        <v>4222.4310170560002</v>
      </c>
    </row>
    <row r="18" spans="3:34" x14ac:dyDescent="0.35">
      <c r="C18" s="25">
        <f>AF18*'KF Non-OECD total'!I24/T18*'KF Non-OECD total'!I140/'KF Non-OECD total'!I$140*-1</f>
        <v>-1.6747858520206258</v>
      </c>
      <c r="D18" s="25"/>
      <c r="E18" s="25">
        <f>AF18*'KF Non-OECD total'!I25/T18*'KF Non-OECD total'!I140/'KF Non-OECD total'!I$140*-1</f>
        <v>-44084.131893349913</v>
      </c>
      <c r="F18" s="25">
        <f>AF18*'KF Non-OECD total'!I26/T18*'KF Non-OECD total'!I140/'KF Non-OECD total'!I$140*-1</f>
        <v>-3612.5549524547905</v>
      </c>
      <c r="G18" s="25"/>
      <c r="H18" s="25"/>
      <c r="I18" s="25">
        <f>AF18*'KF Non-OECD total'!I27/T18*'KF Non-OECD total'!I142/'KF Non-OECD total'!I$142*-1</f>
        <v>0</v>
      </c>
      <c r="J18" s="25">
        <f>AF18*'KF Non-OECD total'!I28/T18*'KF Non-OECD total'!I140/'KF Non-OECD total'!I$140*-1</f>
        <v>-1326.5141340929365</v>
      </c>
      <c r="K18" s="25">
        <f>AF18*'KF Non-OECD total'!I29/T18*'KF Non-OECD total'!I141/'KF Non-OECD total'!I$141*-1</f>
        <v>-983.68547018431457</v>
      </c>
      <c r="L18" s="25">
        <f>AF18*'KF Non-OECD total'!I30/T18*'KF Non-OECD total'!I142/'KF Non-OECD total'!I$142*-1</f>
        <v>0</v>
      </c>
      <c r="M18" s="25"/>
      <c r="N18" s="23">
        <f>SUM(C18:L18)</f>
        <v>-50008.561235933965</v>
      </c>
      <c r="O18" s="6" t="s">
        <v>82</v>
      </c>
      <c r="P18" s="64" t="s">
        <v>83</v>
      </c>
      <c r="Q18" s="69" t="s">
        <v>79</v>
      </c>
      <c r="R18" s="69"/>
      <c r="S18" s="24">
        <f t="shared" si="1"/>
        <v>15641.9639264</v>
      </c>
      <c r="T18" s="37">
        <f>('KF Non-OECD total'!I24+'KF Non-OECD total'!I25+'KF Non-OECD total'!I26+'KF Non-OECD total'!I28)*'KF Non-OECD total'!I140+('KF Non-OECD total'!I27+'KF Non-OECD total'!I30)*'KF Non-OECD total'!I142+'KF Non-OECD total'!I29*'KF Non-OECD total'!I141</f>
        <v>0.31278572188076398</v>
      </c>
      <c r="U18" s="61"/>
      <c r="V18" s="25"/>
      <c r="W18" s="25"/>
      <c r="X18" s="25"/>
      <c r="Y18" s="25"/>
      <c r="Z18" s="25"/>
      <c r="AA18" s="25"/>
      <c r="AB18" s="25"/>
      <c r="AC18" s="25"/>
      <c r="AD18" s="25"/>
      <c r="AE18" s="25"/>
      <c r="AF18" s="25">
        <f>'KF Non-OECD total'!I5*'KF Non-OECD total'!I8*-1*(('KF Non-OECD total'!G24+'KF Non-OECD total'!G25+'KF Non-OECD total'!G26+'KF Non-OECD total'!G28)*'KF Non-OECD total'!G140+('KF Non-OECD total'!G27+'KF Non-OECD total'!G30)*'KF Non-OECD total'!G142+'KF Non-OECD total'!G29*'KF Non-OECD total'!G141)</f>
        <v>15641.9639264</v>
      </c>
      <c r="AG18" s="25">
        <f>(S18+SUM(C18:M18))*-1</f>
        <v>34366.597309533965</v>
      </c>
      <c r="AH18" s="29">
        <f>-(C18*Emissionsfaktorer!$B$2+D18*Emissionsfaktorer!$B$3+E18*Emissionsfaktorer!$B$4+F18*Emissionsfaktorer!$B$5+G18*Emissionsfaktorer!$B$6+H18*Emissionsfaktorer!$B$7+I18*Emissionsfaktorer!$B$8+J18*Emissionsfaktorer!$B$9+K18*Emissionsfaktorer!$B$10+L18*Emissionsfaktorer!$B$11+M18*Emissionsfaktorer!$B$12)</f>
        <v>3556.4687608404583</v>
      </c>
    </row>
    <row r="19" spans="3:34" x14ac:dyDescent="0.35">
      <c r="C19" s="25">
        <f>SUM(C20:C24)</f>
        <v>-5454.3767881093054</v>
      </c>
      <c r="D19" s="25">
        <f t="shared" ref="D19:M19" si="6">SUM(D20:D24)</f>
        <v>0</v>
      </c>
      <c r="E19" s="25">
        <f t="shared" si="6"/>
        <v>-11195.376555790273</v>
      </c>
      <c r="F19" s="25">
        <f t="shared" si="6"/>
        <v>-11262.298928971015</v>
      </c>
      <c r="G19" s="25">
        <f t="shared" si="6"/>
        <v>0</v>
      </c>
      <c r="H19" s="25">
        <f t="shared" si="6"/>
        <v>0</v>
      </c>
      <c r="I19" s="25">
        <f t="shared" si="6"/>
        <v>-1527.1523394120802</v>
      </c>
      <c r="J19" s="25">
        <f t="shared" si="6"/>
        <v>-26844.839029734729</v>
      </c>
      <c r="K19" s="25">
        <f t="shared" si="6"/>
        <v>-21734.222034232651</v>
      </c>
      <c r="L19" s="25">
        <f t="shared" si="6"/>
        <v>-5176.0790786521484</v>
      </c>
      <c r="M19" s="25">
        <f t="shared" si="6"/>
        <v>0</v>
      </c>
      <c r="N19" s="23">
        <f>SUM(N20:N24)</f>
        <v>-83194.344754902195</v>
      </c>
      <c r="O19" s="6" t="s">
        <v>84</v>
      </c>
      <c r="P19" s="64" t="s">
        <v>85</v>
      </c>
      <c r="Q19" s="69" t="s">
        <v>79</v>
      </c>
      <c r="R19" s="69"/>
      <c r="S19" s="24">
        <f t="shared" si="1"/>
        <v>69238.136488000018</v>
      </c>
      <c r="T19" s="37">
        <v>0.8</v>
      </c>
      <c r="U19" s="61"/>
      <c r="V19" s="25">
        <f>SUM(V20:V24)</f>
        <v>0</v>
      </c>
      <c r="W19" s="25">
        <f t="shared" ref="W19:AH19" si="7">SUM(W20:W24)</f>
        <v>0</v>
      </c>
      <c r="X19" s="25">
        <f t="shared" si="7"/>
        <v>0</v>
      </c>
      <c r="Y19" s="25">
        <f t="shared" si="7"/>
        <v>0</v>
      </c>
      <c r="Z19" s="25">
        <f t="shared" si="7"/>
        <v>0</v>
      </c>
      <c r="AA19" s="25">
        <f t="shared" si="7"/>
        <v>0</v>
      </c>
      <c r="AB19" s="25">
        <f t="shared" si="7"/>
        <v>0</v>
      </c>
      <c r="AC19" s="25">
        <f t="shared" si="7"/>
        <v>0</v>
      </c>
      <c r="AD19" s="25">
        <f t="shared" si="7"/>
        <v>0</v>
      </c>
      <c r="AE19" s="25">
        <f t="shared" si="7"/>
        <v>0</v>
      </c>
      <c r="AF19" s="25">
        <f t="shared" si="7"/>
        <v>69238.136488000018</v>
      </c>
      <c r="AG19" s="25">
        <f t="shared" si="7"/>
        <v>13956.208266902184</v>
      </c>
      <c r="AH19" s="25">
        <f t="shared" si="7"/>
        <v>2010.9654520617923</v>
      </c>
    </row>
    <row r="20" spans="3:34" x14ac:dyDescent="0.35">
      <c r="C20" s="92">
        <f>AF20*'KF Non-OECD total'!I$32/T20*'KF Non-OECD total'!I$139/'KF Non-OECD total'!I$139*-1</f>
        <v>-2667.5395040000012</v>
      </c>
      <c r="D20" s="92"/>
      <c r="E20" s="92">
        <f>AF20*'KF Non-OECD total'!I33/T20*'KF Non-OECD total'!I$140/'KF Non-OECD total'!I$140*-1</f>
        <v>-6183.4476000000022</v>
      </c>
      <c r="F20" s="92">
        <f>AF20*'KF Non-OECD total'!I$34/T20*'KF Non-OECD total'!I$140/'KF Non-OECD total'!I$140*-1</f>
        <v>-8951.6473920000044</v>
      </c>
      <c r="G20" s="92"/>
      <c r="H20" s="92"/>
      <c r="I20" s="92">
        <f>AF20*'KF Non-OECD total'!I$35/T20*'KF Non-OECD total'!I$142/'KF Non-OECD total'!I$142*-1</f>
        <v>-1168.7731360000005</v>
      </c>
      <c r="J20" s="92">
        <f>AF20*'KF Non-OECD total'!I$36/T20*'KF Non-OECD total'!I$140/'KF Non-OECD total'!I$140*-1</f>
        <v>-25544.181088000012</v>
      </c>
      <c r="K20" s="92">
        <f>AF20*'KF Non-OECD total'!I$37/T20*'KF Non-OECD total'!I$141/'KF Non-OECD total'!I$141*-1</f>
        <v>-10747.788704000002</v>
      </c>
      <c r="L20" s="92">
        <f>AF20*'KF Non-OECD total'!I$38/T20*'KF Non-OECD total'!I$142/'KF Non-OECD total'!I$142*-1</f>
        <v>-3604.6348640000015</v>
      </c>
      <c r="M20" s="92"/>
      <c r="N20" s="23">
        <f>SUM(C20:L20)</f>
        <v>-58868.01228800002</v>
      </c>
      <c r="O20" s="84" t="s">
        <v>86</v>
      </c>
      <c r="P20" s="85" t="s">
        <v>87</v>
      </c>
      <c r="Q20" s="86" t="s">
        <v>85</v>
      </c>
      <c r="R20" s="86"/>
      <c r="S20" s="24">
        <f t="shared" si="1"/>
        <v>49661.259736000015</v>
      </c>
      <c r="T20" s="37">
        <f>('KF Non-OECD total'!I32+'KF Non-OECD total'!I33+'KF Non-OECD total'!I34+'KF Non-OECD total'!I36)*'KF Non-OECD total'!I139+('KF Non-OECD total'!I35+'KF Non-OECD total'!I38)*'KF Non-OECD total'!I142+'KF Non-OECD total'!I37*'KF Non-OECD total'!I141</f>
        <v>0.84360347505946343</v>
      </c>
      <c r="U20" s="61"/>
      <c r="V20" s="92"/>
      <c r="W20" s="92"/>
      <c r="X20" s="92"/>
      <c r="Y20" s="92"/>
      <c r="Z20" s="92"/>
      <c r="AA20" s="92"/>
      <c r="AB20" s="92"/>
      <c r="AC20" s="92"/>
      <c r="AD20" s="92"/>
      <c r="AE20" s="92"/>
      <c r="AF20" s="92">
        <f>'KF Non-OECD total'!I5*'KF Non-OECD total'!I9*(('KF Non-OECD total'!G32+'KF Non-OECD total'!G33+'KF Non-OECD total'!G34+'KF Non-OECD total'!G36)*'KF Non-OECD total'!G139+('KF Non-OECD total'!G35+'KF Non-OECD total'!G38)*'KF Non-OECD total'!G142+'KF Non-OECD total'!G37*'KF Non-OECD total'!G141)*-1</f>
        <v>49661.259736000015</v>
      </c>
      <c r="AG20" s="92">
        <f>(N20+AF20)*-1</f>
        <v>9206.7525520000054</v>
      </c>
      <c r="AH20" s="87">
        <f>-(C20*Emissionsfaktorer!$B$2+D20*Emissionsfaktorer!$B$3+E20*Emissionsfaktorer!$B$4+F20*Emissionsfaktorer!$B$5+G20*Emissionsfaktorer!$B$6+H20*Emissionsfaktorer!$B$7+I20*Emissionsfaktorer!$B$8+J20*Emissionsfaktorer!$B$9+K20*Emissionsfaktorer!$B$10+L20*Emissionsfaktorer!$B$11+M20*Emissionsfaktorer!$B$12)</f>
        <v>1233.6021718240006</v>
      </c>
    </row>
    <row r="21" spans="3:34" x14ac:dyDescent="0.35">
      <c r="C21" s="92">
        <f>AF21*'KF Non-OECD total'!I$40/T21*'KF Non-OECD total'!I$139/'KF Non-OECD total'!I$139*-1</f>
        <v>-1121.2027661288423</v>
      </c>
      <c r="D21" s="92"/>
      <c r="E21" s="92">
        <f>AF21*'KF Non-OECD total'!I41/T21*'KF Non-OECD total'!I$140/'KF Non-OECD total'!I$140*-1</f>
        <v>-1534.6873729004119</v>
      </c>
      <c r="F21" s="92">
        <f>AF21*'KF Non-OECD total'!I$42/T21*'KF Non-OECD total'!I$140/'KF Non-OECD total'!I$140*-1</f>
        <v>-2028.3565894914805</v>
      </c>
      <c r="G21" s="92"/>
      <c r="H21" s="92"/>
      <c r="I21" s="92">
        <f>AF21*'KF Non-OECD total'!I$43/T21*'KF Non-OECD total'!I$142/'KF Non-OECD total'!I$142*-1</f>
        <v>-247.5464298970652</v>
      </c>
      <c r="J21" s="92">
        <f>AF21*'KF Non-OECD total'!I$44/T21*'KF Non-OECD total'!I$140/'KF Non-OECD total'!I$140*-1</f>
        <v>-915.0257328383907</v>
      </c>
      <c r="K21" s="92">
        <f>AF21*'KF Non-OECD total'!I$45/T21*'KF Non-OECD total'!I$141/'KF Non-OECD total'!I$141*-1</f>
        <v>-6244.5178072173421</v>
      </c>
      <c r="L21" s="92">
        <f>AF21*'KF Non-OECD total'!I$46/T21*'KF Non-OECD total'!I$142/'KF Non-OECD total'!I$142*-1</f>
        <v>-1146.2421377591609</v>
      </c>
      <c r="M21" s="92"/>
      <c r="N21" s="23">
        <f t="shared" ref="N21:N24" si="8">SUM(C21:L21)</f>
        <v>-13237.578836232693</v>
      </c>
      <c r="O21" s="84" t="s">
        <v>88</v>
      </c>
      <c r="P21" s="85" t="s">
        <v>89</v>
      </c>
      <c r="Q21" s="86" t="s">
        <v>85</v>
      </c>
      <c r="R21" s="86"/>
      <c r="S21" s="24">
        <f t="shared" si="1"/>
        <v>11805.498453599999</v>
      </c>
      <c r="T21" s="37">
        <f>('KF Non-OECD total'!I40+'KF Non-OECD total'!I41+'KF Non-OECD total'!I42+'KF Non-OECD total'!I44)*'KF Non-OECD total'!I139+('KF Non-OECD total'!I43+'KF Non-OECD total'!I46)*'KF Non-OECD total'!I142+'KF Non-OECD total'!I45*'KF Non-OECD total'!I141</f>
        <v>0.89181704597573885</v>
      </c>
      <c r="U21" s="61"/>
      <c r="V21" s="92"/>
      <c r="W21" s="92"/>
      <c r="X21" s="92"/>
      <c r="Y21" s="92"/>
      <c r="Z21" s="92"/>
      <c r="AA21" s="92"/>
      <c r="AB21" s="92"/>
      <c r="AC21" s="92"/>
      <c r="AD21" s="92"/>
      <c r="AE21" s="92"/>
      <c r="AF21" s="92">
        <f>'KF Non-OECD total'!I5*'KF Non-OECD total'!I10*(('KF Non-OECD total'!G40+'KF Non-OECD total'!G41+'KF Non-OECD total'!G42+'KF Non-OECD total'!G44)*'KF Non-OECD total'!G139+('KF Non-OECD total'!G43+'KF Non-OECD total'!G46)*'KF Non-OECD total'!G142+'KF Non-OECD total'!G45*'KF Non-OECD total'!G141)*-1</f>
        <v>11805.498453599999</v>
      </c>
      <c r="AG21" s="92">
        <f t="shared" ref="AG21:AG24" si="9">(N21+AF21)*-1</f>
        <v>1432.0803826326937</v>
      </c>
      <c r="AH21" s="87">
        <f>-(C21*Emissionsfaktorer!$B$2+D21*Emissionsfaktorer!$B$3+E21*Emissionsfaktorer!$B$4+F21*Emissionsfaktorer!$B$5+G21*Emissionsfaktorer!$B$6+H21*Emissionsfaktorer!$B$7+I21*Emissionsfaktorer!$B$8+J21*Emissionsfaktorer!$B$9+K21*Emissionsfaktorer!$B$10+L21*Emissionsfaktorer!$B$11+M21*Emissionsfaktorer!$B$12)</f>
        <v>338.76682872368571</v>
      </c>
    </row>
    <row r="22" spans="3:34" x14ac:dyDescent="0.35">
      <c r="C22" s="92">
        <f>AF22*'KF Non-OECD total'!I$48/T22*'KF Non-OECD total'!I$139/'KF Non-OECD total'!I$139*-1</f>
        <v>-608.21736397189932</v>
      </c>
      <c r="D22" s="92"/>
      <c r="E22" s="92">
        <f>AF22*'KF Non-OECD total'!I49/T22*'KF Non-OECD total'!I$140/'KF Non-OECD total'!I$140*-1</f>
        <v>-2641.9310900822611</v>
      </c>
      <c r="F22" s="92">
        <f>AF22*'KF Non-OECD total'!I$50/T22*'KF Non-OECD total'!I$140/'KF Non-OECD total'!I$140*-1</f>
        <v>-175.52300631765124</v>
      </c>
      <c r="G22" s="92"/>
      <c r="H22" s="92"/>
      <c r="I22" s="92">
        <f>AF22*'KF Non-OECD total'!I$51/T22*'KF Non-OECD total'!I$142/'KF Non-OECD total'!I$142*-1</f>
        <v>-62.136484106725767</v>
      </c>
      <c r="J22" s="92">
        <f>AF22*'KF Non-OECD total'!I$52/T22*'KF Non-OECD total'!I$140/'KF Non-OECD total'!I$140*-1</f>
        <v>-321.56886653615493</v>
      </c>
      <c r="K22" s="92">
        <f>AF22*'KF Non-OECD total'!I$53/T22*'KF Non-OECD total'!I$141/'KF Non-OECD total'!I$141*-1</f>
        <v>-1891.6874767235599</v>
      </c>
      <c r="L22" s="92">
        <f>AF22*'KF Non-OECD total'!I$54/T22*'KF Non-OECD total'!I$142/'KF Non-OECD total'!I$142*-1</f>
        <v>-177.53281173350217</v>
      </c>
      <c r="M22" s="92"/>
      <c r="N22" s="23">
        <f t="shared" si="8"/>
        <v>-5878.5970994717545</v>
      </c>
      <c r="O22" s="84" t="s">
        <v>90</v>
      </c>
      <c r="P22" s="85" t="s">
        <v>91</v>
      </c>
      <c r="Q22" s="86" t="s">
        <v>85</v>
      </c>
      <c r="R22" s="86"/>
      <c r="S22" s="24">
        <f t="shared" si="1"/>
        <v>3160.9444967999998</v>
      </c>
      <c r="T22" s="37">
        <f>('KF Non-OECD total'!I48+'KF Non-OECD total'!I49+'KF Non-OECD total'!I50+'KF Non-OECD total'!I52)*'KF Non-OECD total'!I140+('KF Non-OECD total'!I51+'KF Non-OECD total'!I54)*'KF Non-OECD total'!I142+'KF Non-OECD total'!I53*'KF Non-OECD total'!I141</f>
        <v>0.53770388467072172</v>
      </c>
      <c r="U22" s="61"/>
      <c r="V22" s="92"/>
      <c r="W22" s="92"/>
      <c r="X22" s="92"/>
      <c r="Y22" s="92"/>
      <c r="Z22" s="92"/>
      <c r="AA22" s="92"/>
      <c r="AB22" s="92"/>
      <c r="AC22" s="92"/>
      <c r="AD22" s="92"/>
      <c r="AE22" s="92"/>
      <c r="AF22" s="92">
        <f>(('KF Non-OECD total'!G48+'KF Non-OECD total'!G49+'KF Non-OECD total'!G50+'KF Non-OECD total'!G52)*'KF Non-OECD total'!G140+('KF Non-OECD total'!G51+'KF Non-OECD total'!G54)*'KF Non-OECD total'!G142+'KF Non-OECD total'!G53*'KF Non-OECD total'!G141)*'KF Non-OECD total'!I11*'KF Non-OECD total'!I5*-1</f>
        <v>3160.9444967999998</v>
      </c>
      <c r="AG22" s="92">
        <f t="shared" si="9"/>
        <v>2717.6526026717547</v>
      </c>
      <c r="AH22" s="87">
        <f>-(C22*Emissionsfaktorer!$B$2+D22*Emissionsfaktorer!$B$3+E22*Emissionsfaktorer!$B$4+F22*Emissionsfaktorer!$B$5+G22*Emissionsfaktorer!$B$6+H22*Emissionsfaktorer!$B$7+I22*Emissionsfaktorer!$B$8+J22*Emissionsfaktorer!$B$9+K22*Emissionsfaktorer!$B$10+L22*Emissionsfaktorer!$B$11+M22*Emissionsfaktorer!$B$12)</f>
        <v>268.5722237836884</v>
      </c>
    </row>
    <row r="23" spans="3:34" x14ac:dyDescent="0.35">
      <c r="C23" s="92">
        <f>AF23*'KF Non-OECD total'!I$56/T23*'KF Non-OECD total'!I$139/'KF Non-OECD total'!I$139*-1</f>
        <v>-4.1920622906735108E-2</v>
      </c>
      <c r="D23" s="92"/>
      <c r="E23" s="92">
        <f>AF23*'KF Non-OECD total'!I57/T23*'KF Non-OECD total'!I$140/'KF Non-OECD total'!I$140*-1</f>
        <v>-88.536355579024558</v>
      </c>
      <c r="F23" s="92">
        <f>AF23*'KF Non-OECD total'!I$58/T23*'KF Non-OECD total'!I$140/'KF Non-OECD total'!I$140*-1</f>
        <v>-0.16768249162694043</v>
      </c>
      <c r="G23" s="92"/>
      <c r="H23" s="92"/>
      <c r="I23" s="92">
        <f>AF23*'KF Non-OECD total'!I$59/T23*'KF Non-OECD total'!I$142/'KF Non-OECD total'!I$142*-1</f>
        <v>0</v>
      </c>
      <c r="J23" s="92">
        <f>AF23*'KF Non-OECD total'!I$60/T23*'KF Non-OECD total'!I$140/'KF Non-OECD total'!I$140*-1</f>
        <v>-0.25152373744041062</v>
      </c>
      <c r="K23" s="92">
        <f>AF23*'KF Non-OECD total'!I$61/T23*'KF Non-OECD total'!I$141/'KF Non-OECD total'!I$141*-1</f>
        <v>-7.3780296315853855</v>
      </c>
      <c r="L23" s="92">
        <f>AF23*'KF Non-OECD total'!I$62/T23*'KF Non-OECD total'!I$142/'KF Non-OECD total'!I$142*-1</f>
        <v>-0.58688872069429154</v>
      </c>
      <c r="M23" s="92"/>
      <c r="N23" s="23">
        <f t="shared" si="8"/>
        <v>-96.962400783278312</v>
      </c>
      <c r="O23" s="84" t="s">
        <v>92</v>
      </c>
      <c r="P23" s="85" t="s">
        <v>93</v>
      </c>
      <c r="Q23" s="86" t="s">
        <v>85</v>
      </c>
      <c r="R23" s="86"/>
      <c r="S23" s="24">
        <f t="shared" si="1"/>
        <v>34.295261599999996</v>
      </c>
      <c r="T23" s="37">
        <f>('KF Non-OECD total'!I56+'KF Non-OECD total'!I57+'KF Non-OECD total'!I58+'KF Non-OECD total'!I60)*'KF Non-OECD total'!I140+('KF Non-OECD total'!I59+'KF Non-OECD total'!I62)*'KF Non-OECD total'!I142+'KF Non-OECD total'!I61*'KF Non-OECD total'!I141</f>
        <v>0.35369649805447473</v>
      </c>
      <c r="U23" s="61"/>
      <c r="V23" s="92"/>
      <c r="W23" s="92"/>
      <c r="X23" s="92"/>
      <c r="Y23" s="92"/>
      <c r="Z23" s="92"/>
      <c r="AA23" s="92"/>
      <c r="AB23" s="92"/>
      <c r="AC23" s="92"/>
      <c r="AD23" s="92"/>
      <c r="AE23" s="92"/>
      <c r="AF23" s="92">
        <f>(('KF Non-OECD total'!G56+'KF Non-OECD total'!G57+'KF Non-OECD total'!G58+'KF Non-OECD total'!G60)*'KF Non-OECD total'!G140+('KF Non-OECD total'!G59+'KF Non-OECD total'!G62)*'KF Non-OECD total'!G142+'KF Non-OECD total'!G61*'KF Non-OECD total'!G141)*'KF Non-OECD total'!I5*'KF Non-OECD total'!I12*-1</f>
        <v>34.295261599999996</v>
      </c>
      <c r="AG23" s="92">
        <f t="shared" si="9"/>
        <v>62.667139183278316</v>
      </c>
      <c r="AH23" s="87">
        <f>-(C23*Emissionsfaktorer!$B$2+D23*Emissionsfaktorer!$B$3+E23*Emissionsfaktorer!$B$4+F23*Emissionsfaktorer!$B$5+G23*Emissionsfaktorer!$B$6+H23*Emissionsfaktorer!$B$7+I23*Emissionsfaktorer!$B$8+J23*Emissionsfaktorer!$B$9+K23*Emissionsfaktorer!$B$10+L23*Emissionsfaktorer!$B$11+M23*Emissionsfaktorer!$B$12)</f>
        <v>6.7423033852047416</v>
      </c>
    </row>
    <row r="24" spans="3:34" x14ac:dyDescent="0.35">
      <c r="C24" s="92">
        <f>AF24*'KF Non-OECD total'!I$64/T24*'KF Non-OECD total'!I$139/'KF Non-OECD total'!I$139*-1</f>
        <v>-1057.3752333856557</v>
      </c>
      <c r="D24" s="92"/>
      <c r="E24" s="92">
        <f>AF24*'KF Non-OECD total'!I65/T24*'KF Non-OECD total'!I$140/'KF Non-OECD total'!I$140*-1</f>
        <v>-746.77413722857375</v>
      </c>
      <c r="F24" s="92">
        <f>AF24*'KF Non-OECD total'!I$66/T24*'KF Non-OECD total'!I$140/'KF Non-OECD total'!I$140*-1</f>
        <v>-106.60425867025225</v>
      </c>
      <c r="G24" s="92"/>
      <c r="H24" s="92"/>
      <c r="I24" s="92">
        <f>AF24*'KF Non-OECD total'!I$67/T24*'KF Non-OECD total'!I$142/'KF Non-OECD total'!I$142*-1</f>
        <v>-48.696289408288834</v>
      </c>
      <c r="J24" s="92">
        <f>AF24*'KF Non-OECD total'!I$68/T24*'KF Non-OECD total'!I$140/'KF Non-OECD total'!I$140*-1</f>
        <v>-63.811818622727579</v>
      </c>
      <c r="K24" s="92">
        <f>AF24*'KF Non-OECD total'!I$69/T24*'KF Non-OECD total'!I$141/'KF Non-OECD total'!I$141*-1</f>
        <v>-2842.850016660163</v>
      </c>
      <c r="L24" s="92">
        <f>AF24*'KF Non-OECD total'!I$70/T24*'KF Non-OECD total'!I$142/'KF Non-OECD total'!I$142*-1</f>
        <v>-247.08237643878968</v>
      </c>
      <c r="M24" s="92"/>
      <c r="N24" s="23">
        <f t="shared" si="8"/>
        <v>-5113.1941304144511</v>
      </c>
      <c r="O24" s="84" t="s">
        <v>94</v>
      </c>
      <c r="P24" s="85" t="s">
        <v>95</v>
      </c>
      <c r="Q24" s="86" t="s">
        <v>85</v>
      </c>
      <c r="R24" s="86"/>
      <c r="S24" s="24">
        <f t="shared" si="1"/>
        <v>4576.1385400000008</v>
      </c>
      <c r="T24" s="37">
        <f>('KF Non-OECD total'!I64+'KF Non-OECD total'!I65+'KF Non-OECD total'!I66+'KF Non-OECD total'!I68)*'KF Non-OECD total'!I139+('KF Non-OECD total'!I67+'KF Non-OECD total'!I70)*'KF Non-OECD total'!I142+'KF Non-OECD total'!I69*'KF Non-OECD total'!I141</f>
        <v>0.89496671225136537</v>
      </c>
      <c r="U24" s="61"/>
      <c r="V24" s="92"/>
      <c r="W24" s="92"/>
      <c r="X24" s="92"/>
      <c r="Y24" s="92"/>
      <c r="Z24" s="92"/>
      <c r="AA24" s="92"/>
      <c r="AB24" s="92"/>
      <c r="AC24" s="92"/>
      <c r="AD24" s="92"/>
      <c r="AE24" s="92"/>
      <c r="AF24" s="92">
        <f>(('KF Non-OECD total'!G64+'KF Non-OECD total'!G65+'KF Non-OECD total'!G66+'KF Non-OECD total'!G68)*'KF Non-OECD total'!G139+('KF Non-OECD total'!G67+'KF Non-OECD total'!G70)*'KF Non-OECD total'!G142+'KF Non-OECD total'!G69*'KF Non-OECD total'!G141)*'KF Non-OECD total'!I5*'KF Non-OECD total'!I13*-1</f>
        <v>4576.1385400000008</v>
      </c>
      <c r="AG24" s="92">
        <f t="shared" si="9"/>
        <v>537.05559041445031</v>
      </c>
      <c r="AH24" s="87">
        <f>-(C24*Emissionsfaktorer!$B$2+D24*Emissionsfaktorer!$B$3+E24*Emissionsfaktorer!$B$4+F24*Emissionsfaktorer!$B$5+G24*Emissionsfaktorer!$B$6+H24*Emissionsfaktorer!$B$7+I24*Emissionsfaktorer!$B$8+J24*Emissionsfaktorer!$B$9+K24*Emissionsfaktorer!$B$10+L24*Emissionsfaktorer!$B$11+M24*Emissionsfaktorer!$B$12)</f>
        <v>163.28192434521327</v>
      </c>
    </row>
    <row r="25" spans="3:34" x14ac:dyDescent="0.35"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23">
        <f>N16</f>
        <v>-217316.85241600001</v>
      </c>
      <c r="O25" s="10" t="s">
        <v>11</v>
      </c>
      <c r="P25" s="71" t="s">
        <v>96</v>
      </c>
      <c r="Q25" s="71"/>
      <c r="R25" s="71"/>
      <c r="S25" s="24">
        <f t="shared" si="1"/>
        <v>156539.07286320001</v>
      </c>
      <c r="T25" s="37">
        <f>AF25/N25*-1</f>
        <v>0.7203264317649154</v>
      </c>
      <c r="U25" s="61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>
        <f>AF16</f>
        <v>156539.07286320001</v>
      </c>
      <c r="AG25" s="14">
        <f>-(S25+N25)</f>
        <v>60777.779552799999</v>
      </c>
      <c r="AH25" s="14"/>
    </row>
    <row r="28" spans="3:34" x14ac:dyDescent="0.35">
      <c r="X28" s="95"/>
    </row>
    <row r="29" spans="3:34" x14ac:dyDescent="0.35">
      <c r="X29" s="95"/>
    </row>
    <row r="30" spans="3:34" x14ac:dyDescent="0.35">
      <c r="X30" s="95"/>
    </row>
  </sheetData>
  <pageMargins left="0.7" right="0.7" top="0.75" bottom="0.75" header="0.3" footer="0.3"/>
  <pageSetup paperSize="9" orientation="portrait" horizontalDpi="4294967293" verticalDpi="4294967293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AH36"/>
  <sheetViews>
    <sheetView topLeftCell="Q1" zoomScale="130" zoomScaleNormal="130" workbookViewId="0">
      <selection activeCell="F10" sqref="F10"/>
    </sheetView>
  </sheetViews>
  <sheetFormatPr defaultRowHeight="14.5" x14ac:dyDescent="0.35"/>
  <cols>
    <col min="3" max="3" width="16.453125" customWidth="1"/>
    <col min="4" max="4" width="12.81640625" customWidth="1"/>
    <col min="5" max="5" width="12.54296875" customWidth="1"/>
    <col min="6" max="6" width="16.54296875" customWidth="1"/>
    <col min="10" max="10" width="12.54296875" customWidth="1"/>
    <col min="11" max="11" width="11.54296875" customWidth="1"/>
    <col min="14" max="14" width="10.81640625" customWidth="1"/>
    <col min="15" max="15" width="51.54296875" customWidth="1"/>
    <col min="16" max="18" width="15.81640625" customWidth="1"/>
    <col min="19" max="19" width="12.81640625" customWidth="1"/>
    <col min="24" max="24" width="14.1796875" bestFit="1" customWidth="1"/>
    <col min="33" max="34" width="11.26953125" customWidth="1"/>
  </cols>
  <sheetData>
    <row r="1" spans="1:34" ht="140" x14ac:dyDescent="0.35">
      <c r="B1" s="44" t="s">
        <v>0</v>
      </c>
      <c r="C1" s="3" t="s">
        <v>1</v>
      </c>
      <c r="D1" s="8" t="s">
        <v>2</v>
      </c>
      <c r="E1" s="2" t="s">
        <v>3</v>
      </c>
      <c r="F1" s="3" t="s">
        <v>4</v>
      </c>
      <c r="G1" s="1" t="s">
        <v>5</v>
      </c>
      <c r="H1" s="1" t="s">
        <v>6</v>
      </c>
      <c r="I1" s="1" t="s">
        <v>7</v>
      </c>
      <c r="J1" s="3" t="s">
        <v>8</v>
      </c>
      <c r="K1" s="2" t="s">
        <v>9</v>
      </c>
      <c r="L1" s="2" t="s">
        <v>10</v>
      </c>
      <c r="M1" s="17" t="s">
        <v>11</v>
      </c>
      <c r="N1" s="5" t="s">
        <v>12</v>
      </c>
      <c r="O1" s="4" t="s">
        <v>238</v>
      </c>
      <c r="P1" s="60"/>
      <c r="Q1" s="60"/>
      <c r="R1" s="12" t="s">
        <v>14</v>
      </c>
      <c r="S1" s="11" t="s">
        <v>15</v>
      </c>
      <c r="T1" s="12" t="s">
        <v>16</v>
      </c>
      <c r="U1" s="44" t="s">
        <v>17</v>
      </c>
      <c r="V1" s="3" t="s">
        <v>1</v>
      </c>
      <c r="W1" s="8" t="s">
        <v>2</v>
      </c>
      <c r="X1" s="9" t="s">
        <v>3</v>
      </c>
      <c r="Y1" s="3" t="s">
        <v>4</v>
      </c>
      <c r="Z1" s="1" t="s">
        <v>5</v>
      </c>
      <c r="AA1" s="1" t="s">
        <v>6</v>
      </c>
      <c r="AB1" s="1" t="s">
        <v>7</v>
      </c>
      <c r="AC1" s="3" t="s">
        <v>8</v>
      </c>
      <c r="AD1" s="2" t="s">
        <v>9</v>
      </c>
      <c r="AE1" s="2" t="s">
        <v>10</v>
      </c>
      <c r="AF1" s="17" t="s">
        <v>11</v>
      </c>
      <c r="AG1" s="13" t="s">
        <v>18</v>
      </c>
      <c r="AH1" s="13" t="s">
        <v>19</v>
      </c>
    </row>
    <row r="2" spans="1:34" ht="24.75" customHeight="1" x14ac:dyDescent="0.35">
      <c r="A2" s="45" t="s">
        <v>20</v>
      </c>
      <c r="B2" s="46" t="s">
        <v>21</v>
      </c>
      <c r="C2" s="46" t="s">
        <v>22</v>
      </c>
      <c r="D2" s="46" t="s">
        <v>23</v>
      </c>
      <c r="E2" s="47" t="s">
        <v>24</v>
      </c>
      <c r="F2" s="46" t="s">
        <v>25</v>
      </c>
      <c r="G2" s="46" t="s">
        <v>26</v>
      </c>
      <c r="H2" s="46" t="s">
        <v>27</v>
      </c>
      <c r="I2" s="46" t="s">
        <v>28</v>
      </c>
      <c r="J2" s="48" t="s">
        <v>29</v>
      </c>
      <c r="K2" s="47" t="s">
        <v>30</v>
      </c>
      <c r="L2" s="49" t="s">
        <v>31</v>
      </c>
      <c r="M2" s="49" t="s">
        <v>32</v>
      </c>
      <c r="N2" s="50" t="s">
        <v>33</v>
      </c>
      <c r="O2" s="51"/>
      <c r="P2" s="52" t="s">
        <v>20</v>
      </c>
      <c r="Q2" s="53" t="s">
        <v>34</v>
      </c>
      <c r="R2" s="50" t="s">
        <v>35</v>
      </c>
      <c r="S2" s="54" t="s">
        <v>36</v>
      </c>
      <c r="T2" s="50" t="s">
        <v>37</v>
      </c>
      <c r="U2" s="46" t="s">
        <v>38</v>
      </c>
      <c r="V2" s="46" t="s">
        <v>39</v>
      </c>
      <c r="W2" s="46" t="s">
        <v>40</v>
      </c>
      <c r="X2" s="47" t="s">
        <v>41</v>
      </c>
      <c r="Y2" s="46" t="s">
        <v>42</v>
      </c>
      <c r="Z2" s="46" t="s">
        <v>43</v>
      </c>
      <c r="AA2" s="46" t="s">
        <v>44</v>
      </c>
      <c r="AB2" s="46" t="s">
        <v>45</v>
      </c>
      <c r="AC2" s="46" t="s">
        <v>46</v>
      </c>
      <c r="AD2" s="47" t="s">
        <v>47</v>
      </c>
      <c r="AE2" s="47" t="s">
        <v>48</v>
      </c>
      <c r="AF2" s="49" t="s">
        <v>49</v>
      </c>
      <c r="AG2" s="46" t="s">
        <v>50</v>
      </c>
      <c r="AH2" s="46" t="s">
        <v>51</v>
      </c>
    </row>
    <row r="3" spans="1:34" ht="24.75" customHeight="1" x14ac:dyDescent="0.35">
      <c r="A3" s="45" t="s">
        <v>34</v>
      </c>
      <c r="B3" s="55"/>
      <c r="C3" s="56" t="s">
        <v>52</v>
      </c>
      <c r="D3" s="56" t="s">
        <v>52</v>
      </c>
      <c r="E3" s="56" t="s">
        <v>21</v>
      </c>
      <c r="F3" s="56" t="s">
        <v>21</v>
      </c>
      <c r="G3" s="56" t="s">
        <v>21</v>
      </c>
      <c r="H3" s="56" t="s">
        <v>52</v>
      </c>
      <c r="I3" s="56" t="s">
        <v>52</v>
      </c>
      <c r="J3" s="56" t="s">
        <v>21</v>
      </c>
      <c r="K3" s="56" t="s">
        <v>21</v>
      </c>
      <c r="L3" s="57" t="s">
        <v>21</v>
      </c>
      <c r="M3" s="57" t="s">
        <v>21</v>
      </c>
      <c r="N3" s="50"/>
      <c r="O3" s="51" t="s">
        <v>53</v>
      </c>
      <c r="P3" s="52"/>
      <c r="Q3" s="53"/>
      <c r="R3" s="74"/>
      <c r="S3" s="58"/>
      <c r="T3" s="59"/>
      <c r="U3" s="55"/>
      <c r="V3" s="56" t="s">
        <v>38</v>
      </c>
      <c r="W3" s="56" t="s">
        <v>38</v>
      </c>
      <c r="X3" s="56" t="s">
        <v>38</v>
      </c>
      <c r="Y3" s="56" t="s">
        <v>38</v>
      </c>
      <c r="Z3" s="56" t="s">
        <v>38</v>
      </c>
      <c r="AA3" s="56" t="s">
        <v>38</v>
      </c>
      <c r="AB3" s="56" t="s">
        <v>54</v>
      </c>
      <c r="AC3" s="56" t="s">
        <v>38</v>
      </c>
      <c r="AD3" s="56" t="s">
        <v>38</v>
      </c>
      <c r="AE3" s="56" t="s">
        <v>38</v>
      </c>
      <c r="AF3" s="57" t="s">
        <v>38</v>
      </c>
      <c r="AG3" s="56"/>
      <c r="AH3" s="56"/>
    </row>
    <row r="4" spans="1:34" ht="24.75" customHeight="1" x14ac:dyDescent="0.35">
      <c r="A4" s="72" t="s">
        <v>55</v>
      </c>
      <c r="B4" s="72"/>
      <c r="C4" s="56"/>
      <c r="D4" s="56"/>
      <c r="E4" s="56"/>
      <c r="F4" s="56"/>
      <c r="G4" s="56"/>
      <c r="H4" s="56"/>
      <c r="I4" s="56"/>
      <c r="J4" s="56"/>
      <c r="K4" s="56"/>
      <c r="L4" s="57"/>
      <c r="M4" s="57"/>
      <c r="N4" s="50"/>
      <c r="O4" s="51"/>
      <c r="P4" s="73"/>
      <c r="Q4" s="53"/>
      <c r="R4" s="74"/>
      <c r="S4" s="58"/>
      <c r="T4" s="59"/>
      <c r="U4" s="55">
        <f>B4</f>
        <v>0</v>
      </c>
      <c r="V4" s="56"/>
      <c r="W4" s="56"/>
      <c r="X4" s="56"/>
      <c r="Y4" s="56"/>
      <c r="Z4" s="56"/>
      <c r="AA4" s="56"/>
      <c r="AB4" s="56"/>
      <c r="AC4" s="56"/>
      <c r="AD4" s="56"/>
      <c r="AE4" s="56"/>
      <c r="AF4" s="57"/>
      <c r="AG4" s="56">
        <f>U4</f>
        <v>0</v>
      </c>
      <c r="AH4" s="56">
        <f>U4</f>
        <v>0</v>
      </c>
    </row>
    <row r="5" spans="1:34" x14ac:dyDescent="0.35">
      <c r="C5" s="14"/>
      <c r="D5" s="14"/>
      <c r="E5" s="14"/>
      <c r="F5" s="14"/>
      <c r="G5" s="14"/>
      <c r="H5" s="14"/>
      <c r="I5" s="14"/>
      <c r="J5" s="14"/>
      <c r="K5" s="14"/>
      <c r="L5" s="14"/>
      <c r="M5" s="14"/>
      <c r="N5" s="23">
        <f>SUM(C5:M5)</f>
        <v>0</v>
      </c>
      <c r="O5" s="10" t="s">
        <v>56</v>
      </c>
      <c r="P5" s="62" t="s">
        <v>57</v>
      </c>
      <c r="Q5" s="63"/>
      <c r="R5" s="63"/>
      <c r="S5" s="24">
        <f>SUM(V5:AF5)</f>
        <v>300375.2261472242</v>
      </c>
      <c r="T5" s="37"/>
      <c r="U5" s="61"/>
      <c r="V5" s="14">
        <f>-(C6+C5)</f>
        <v>112277.29887593046</v>
      </c>
      <c r="W5" s="14">
        <f>-(D6+D5)</f>
        <v>77712.937984907709</v>
      </c>
      <c r="X5" s="14"/>
      <c r="Y5" s="14">
        <f>-(F6+F5)</f>
        <v>64433.012096111299</v>
      </c>
      <c r="Z5" s="14">
        <f>-(G6+G5)</f>
        <v>7801.6060896204899</v>
      </c>
      <c r="AA5" s="14"/>
      <c r="AB5" s="14"/>
      <c r="AC5" s="14">
        <f>-(J6+J5)</f>
        <v>38150.371100654214</v>
      </c>
      <c r="AD5" s="14"/>
      <c r="AE5" s="14"/>
      <c r="AF5" s="14"/>
      <c r="AG5" s="14"/>
      <c r="AH5" s="14"/>
    </row>
    <row r="6" spans="1:34" x14ac:dyDescent="0.35">
      <c r="C6" s="14">
        <f>-V6</f>
        <v>-112277.29887593046</v>
      </c>
      <c r="D6" s="14">
        <f>-W6</f>
        <v>-77712.937984907709</v>
      </c>
      <c r="E6" s="14"/>
      <c r="F6" s="14">
        <f>-Y6</f>
        <v>-64433.012096111299</v>
      </c>
      <c r="G6" s="14">
        <f>-Z6</f>
        <v>-7801.6060896204899</v>
      </c>
      <c r="H6" s="14"/>
      <c r="I6" s="14"/>
      <c r="J6" s="14">
        <f>-AC6</f>
        <v>-38150.371100654214</v>
      </c>
      <c r="K6" s="14"/>
      <c r="L6" s="18"/>
      <c r="M6" s="18"/>
      <c r="N6" s="23">
        <f t="shared" ref="N6:N15" si="0">SUM(C6:M6)</f>
        <v>-300375.2261472242</v>
      </c>
      <c r="O6" s="22" t="s">
        <v>58</v>
      </c>
      <c r="P6" s="65" t="s">
        <v>59</v>
      </c>
      <c r="Q6" s="66"/>
      <c r="R6" s="66"/>
      <c r="S6" s="24">
        <f t="shared" ref="S6:S25" si="1">SUM(V6:AF6)</f>
        <v>300375.2261472242</v>
      </c>
      <c r="T6" s="37"/>
      <c r="U6" s="61"/>
      <c r="V6" s="14">
        <f>-(C16+C8)</f>
        <v>112277.29887593046</v>
      </c>
      <c r="W6" s="14">
        <f>-(D16+D8)</f>
        <v>77712.937984907709</v>
      </c>
      <c r="X6" s="14"/>
      <c r="Y6" s="14">
        <f>-(F16+F8)</f>
        <v>64433.012096111299</v>
      </c>
      <c r="Z6" s="14">
        <f>-(G16+G8)</f>
        <v>7801.6060896204899</v>
      </c>
      <c r="AA6" s="14"/>
      <c r="AB6" s="14"/>
      <c r="AC6" s="14">
        <f>-(J16+J8)</f>
        <v>38150.371100654214</v>
      </c>
      <c r="AD6" s="14"/>
      <c r="AE6" s="14"/>
      <c r="AF6" s="14"/>
      <c r="AG6" s="21">
        <f>-(N6+S6)</f>
        <v>0</v>
      </c>
      <c r="AH6" s="21"/>
    </row>
    <row r="7" spans="1:34" x14ac:dyDescent="0.35"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23">
        <f t="shared" si="0"/>
        <v>0</v>
      </c>
      <c r="O7" s="22" t="s">
        <v>60</v>
      </c>
      <c r="P7" s="67" t="s">
        <v>61</v>
      </c>
      <c r="Q7" s="66"/>
      <c r="R7" s="66"/>
      <c r="S7" s="24">
        <f t="shared" si="1"/>
        <v>14428.392576769158</v>
      </c>
      <c r="T7" s="37"/>
      <c r="U7" s="61"/>
      <c r="V7" s="14"/>
      <c r="W7" s="14"/>
      <c r="X7" s="14"/>
      <c r="Y7" s="14"/>
      <c r="Z7" s="16"/>
      <c r="AA7" s="19">
        <f>-H8</f>
        <v>9922.2717710777579</v>
      </c>
      <c r="AB7" s="19">
        <f>-I8</f>
        <v>4506.1208056914002</v>
      </c>
      <c r="AC7" s="14"/>
      <c r="AD7" s="14"/>
      <c r="AE7" s="14"/>
      <c r="AF7" s="14"/>
      <c r="AG7" s="14"/>
      <c r="AH7" s="14"/>
    </row>
    <row r="8" spans="1:34" x14ac:dyDescent="0.35">
      <c r="C8" s="14">
        <f>SUM(C9:C13)</f>
        <v>-76906.592469969124</v>
      </c>
      <c r="D8" s="14">
        <f t="shared" ref="D8:M8" si="2">SUM(D9:D13)</f>
        <v>-77609.849120907704</v>
      </c>
      <c r="E8" s="14">
        <f t="shared" si="2"/>
        <v>-9680.201183160254</v>
      </c>
      <c r="F8" s="14">
        <f t="shared" si="2"/>
        <v>-36357.382134685497</v>
      </c>
      <c r="G8" s="14">
        <f t="shared" si="2"/>
        <v>-7801.6060896204899</v>
      </c>
      <c r="H8" s="14">
        <f t="shared" si="2"/>
        <v>-9922.2717710777579</v>
      </c>
      <c r="I8" s="14">
        <f t="shared" si="2"/>
        <v>-4506.1208056914002</v>
      </c>
      <c r="J8" s="14">
        <f t="shared" si="2"/>
        <v>-4852.1683848265502</v>
      </c>
      <c r="K8" s="14">
        <f t="shared" si="2"/>
        <v>-5081.2259034898825</v>
      </c>
      <c r="L8" s="14">
        <f t="shared" si="2"/>
        <v>-1295.5615519999999</v>
      </c>
      <c r="M8" s="14">
        <f t="shared" si="2"/>
        <v>0</v>
      </c>
      <c r="N8" s="23">
        <f t="shared" si="0"/>
        <v>-234012.97941542868</v>
      </c>
      <c r="O8" s="22" t="s">
        <v>62</v>
      </c>
      <c r="P8" s="67" t="s">
        <v>63</v>
      </c>
      <c r="Q8" s="66"/>
      <c r="R8" s="66"/>
      <c r="S8" s="24">
        <f t="shared" si="1"/>
        <v>140533.31713703382</v>
      </c>
      <c r="T8" s="37"/>
      <c r="U8" s="61"/>
      <c r="V8" s="14">
        <f>SUM(V9:V13)</f>
        <v>0</v>
      </c>
      <c r="W8" s="14"/>
      <c r="X8" s="14">
        <f>(E14+E8)*-1</f>
        <v>73224.111888300438</v>
      </c>
      <c r="Y8" s="14"/>
      <c r="Z8" s="14"/>
      <c r="AA8" s="14"/>
      <c r="AB8" s="14"/>
      <c r="AC8" s="14"/>
      <c r="AD8" s="14">
        <f>(K14+K8)*-1</f>
        <v>55346.136291582181</v>
      </c>
      <c r="AE8" s="14">
        <f>(L14+L8)*-1</f>
        <v>11963.068957151203</v>
      </c>
      <c r="AF8" s="14"/>
      <c r="AG8" s="21">
        <f>-(N8+S8)</f>
        <v>93479.662278394855</v>
      </c>
      <c r="AH8" s="21">
        <f>SUM(AH9:AH13)</f>
        <v>10114.192356244321</v>
      </c>
    </row>
    <row r="9" spans="1:34" x14ac:dyDescent="0.35">
      <c r="C9" s="26">
        <f>-($AD$9+$H$9+$I$9)/$T$9*'KF Non-OECD total'!$H109</f>
        <v>-47561.811037887885</v>
      </c>
      <c r="D9" s="26">
        <f>-($AD$9+$H$9+$I$9)/$T$9*'KF Non-OECD total'!$H110</f>
        <v>-1238.8155790978101</v>
      </c>
      <c r="E9" s="26">
        <f>-($AD$9+$H$9+$I$9)/$T$9*'KF Non-OECD total'!$H111</f>
        <v>-4472.7315391176235</v>
      </c>
      <c r="F9" s="26">
        <f>-($AD$9+$H$9+$I$9)/$T$9*'KF Non-OECD total'!$H112</f>
        <v>-19310.910294856138</v>
      </c>
      <c r="G9" s="26">
        <f>-($AD$9+$H$9+$I$9)/$T$9*'KF Non-OECD total'!$H113</f>
        <v>-7780.0787591914332</v>
      </c>
      <c r="H9" s="26">
        <f>AD9*'KF Non-OECD total'!H94*-1</f>
        <v>-9922.2717710777579</v>
      </c>
      <c r="I9" s="26">
        <f>AD9*'KF Non-OECD total'!H95*-1</f>
        <v>-4505.5251730459886</v>
      </c>
      <c r="J9" s="26">
        <f>-($AD$9+$H$9+$I$9)/$T$9*'KF Non-OECD total'!$H114</f>
        <v>-3423.6610291026086</v>
      </c>
      <c r="K9" s="25"/>
      <c r="L9" s="25"/>
      <c r="M9" s="25"/>
      <c r="N9" s="23">
        <f t="shared" si="0"/>
        <v>-98215.805183377248</v>
      </c>
      <c r="O9" s="6" t="s">
        <v>64</v>
      </c>
      <c r="P9" s="68" t="s">
        <v>65</v>
      </c>
      <c r="Q9" s="69" t="s">
        <v>63</v>
      </c>
      <c r="R9" s="69"/>
      <c r="S9" s="24">
        <f t="shared" si="1"/>
        <v>44288.769316968574</v>
      </c>
      <c r="T9" s="37">
        <f>'KF Non-OECD total'!H104</f>
        <v>0.35638718475772746</v>
      </c>
      <c r="U9" s="61"/>
      <c r="V9" s="28"/>
      <c r="W9" s="28"/>
      <c r="X9" s="28"/>
      <c r="Y9" s="28"/>
      <c r="Z9" s="28"/>
      <c r="AA9" s="28"/>
      <c r="AB9" s="28"/>
      <c r="AC9" s="28"/>
      <c r="AD9" s="28">
        <f>AD8-AD10</f>
        <v>44288.769316968574</v>
      </c>
      <c r="AE9" s="28"/>
      <c r="AF9" s="28"/>
      <c r="AG9" s="29">
        <f>-(S9+N9)</f>
        <v>53927.035866408674</v>
      </c>
      <c r="AH9" s="29">
        <f>-(C9*Emissionsfaktorer!$B$2*(1-'KF Non-OECD total'!H134)+D9*Emissionsfaktorer!$B$3+E9*Emissionsfaktorer!$B$4*(1-'KF Non-OECD total'!H135)+F9*Emissionsfaktorer!$B$5*(1-'KF Non-OECD total'!H136)+G9*Emissionsfaktorer!$B$6+H9*Emissionsfaktorer!$B$7+I9*Emissionsfaktorer!$B$8-J9*Emissionsfaktorer!B13*'KF Non-OECD total'!H137+K9*Emissionsfaktorer!$B$10+L9*Emissionsfaktorer!$B$11+M9*Emissionsfaktorer!$B$12)</f>
        <v>5959.021532379089</v>
      </c>
    </row>
    <row r="10" spans="1:34" x14ac:dyDescent="0.35">
      <c r="C10" s="26">
        <f>-($AD$10+$AE$10+$H$10+$I$10)/IF($T$10=0,1,T10)*'KF Non-OECD total'!$H116</f>
        <v>-25810.843743126698</v>
      </c>
      <c r="D10" s="26">
        <f>-($AD$10+$AE$10+$H$10+$I$10)/IF($T$10=0,1,T10)*'KF Non-OECD total'!$H117</f>
        <v>-0.89342675693715456</v>
      </c>
      <c r="E10" s="26">
        <f>-($AD$10+$AE$10+$H$10+$I$10)/IF($T$10=0,1,T10)*'KF Non-OECD total'!$H118</f>
        <v>-187.66216308808518</v>
      </c>
      <c r="F10" s="26">
        <f>-($AD$10+$AE$10+$H$10+$I$10)/IF($T$10=0,1,T10)*'KF Non-OECD total'!$H119</f>
        <v>-9304.1887908748104</v>
      </c>
      <c r="G10" s="26">
        <f>-($AD$10+$AE$10+$H$10+$I$10)/IF($T$10=0,1,T10)*'KF Non-OECD total'!$H120</f>
        <v>-21.527330429057152</v>
      </c>
      <c r="H10" s="26"/>
      <c r="I10" s="26">
        <f>(AD10+AE10)*'KF Non-OECD total'!H98*-1</f>
        <v>0</v>
      </c>
      <c r="J10" s="26">
        <f>-($AD$10+$AE$10+$H$10+$I$10)/IF($T$10=0,1,T10)*'KF Non-OECD total'!$H121</f>
        <v>-613.14602004658423</v>
      </c>
      <c r="K10" s="25"/>
      <c r="L10" s="25"/>
      <c r="M10" s="25"/>
      <c r="N10" s="23">
        <f t="shared" si="0"/>
        <v>-35938.261474322171</v>
      </c>
      <c r="O10" s="6" t="s">
        <v>66</v>
      </c>
      <c r="P10" s="68" t="s">
        <v>67</v>
      </c>
      <c r="Q10" s="69" t="s">
        <v>63</v>
      </c>
      <c r="R10" s="69"/>
      <c r="S10" s="24">
        <f t="shared" si="1"/>
        <v>19505.437510433949</v>
      </c>
      <c r="T10" s="37">
        <f>'KF Non-OECD total'!H105</f>
        <v>0.54274850007339814</v>
      </c>
      <c r="U10" s="61"/>
      <c r="V10" s="28"/>
      <c r="W10" s="28"/>
      <c r="X10" s="28"/>
      <c r="Y10" s="28"/>
      <c r="Z10" s="28"/>
      <c r="AA10" s="28"/>
      <c r="AB10" s="28"/>
      <c r="AC10" s="28"/>
      <c r="AD10" s="28">
        <f>AE10*'KF Non-OECD total'!H90</f>
        <v>11057.366974613606</v>
      </c>
      <c r="AE10" s="28">
        <f>AE8*'KF Non-OECD total'!H85</f>
        <v>8448.0705358203431</v>
      </c>
      <c r="AF10" s="28"/>
      <c r="AG10" s="29">
        <f t="shared" ref="AG10:AG11" si="3">-(S10+N10)</f>
        <v>16432.823963888222</v>
      </c>
      <c r="AH10" s="29">
        <f>-(C10*Emissionsfaktorer!$B$2*(1-'KF Non-OECD total'!H135)+D10*Emissionsfaktorer!$B$3+E10*Emissionsfaktorer!$B$4*(1-'KF Non-OECD total'!H136)+F10*Emissionsfaktorer!$B$5*(1-'KF Non-OECD total'!H137)+G10*Emissionsfaktorer!$B$6+H10*Emissionsfaktorer!$B$7+I10*Emissionsfaktorer!$B$8-J10*Emissionsfaktorer!B14*'KF Non-OECD total'!H142+K10*Emissionsfaktorer!$B$10+L10*Emissionsfaktorer!$B$11+M10*Emissionsfaktorer!$B$12)</f>
        <v>2996.631241071595</v>
      </c>
    </row>
    <row r="11" spans="1:34" x14ac:dyDescent="0.35">
      <c r="C11" s="26">
        <f>-($AE$11+$H$11+$I$11)/IF($T$11=0,1,$T$11)*'KF Non-OECD total'!$H123</f>
        <v>-872.67898495454574</v>
      </c>
      <c r="D11" s="26">
        <f>-($AE$11+$H$11+$I$11)/IF($T$11=0,1,$T$11)*'KF Non-OECD total'!$H123</f>
        <v>-872.67898495454574</v>
      </c>
      <c r="E11" s="26">
        <f>-($AE$11+$H$11+$I$11)/IF($T$11=0,1,$T$11)*'KF Non-OECD total'!$H123</f>
        <v>-872.67898495454574</v>
      </c>
      <c r="F11" s="26">
        <f>-($AE$11+$H$11+$I$11)/IF($T$11=0,1,$T$11)*'KF Non-OECD total'!$H123</f>
        <v>-872.67898495454574</v>
      </c>
      <c r="G11" s="26">
        <f>-($AE$11+$H$11+$I$11)/IF($T$11=0,1,T11)*'KF Non-OECD total'!$H127</f>
        <v>0</v>
      </c>
      <c r="H11" s="26"/>
      <c r="I11" s="26">
        <f>AE11*'KF Non-OECD total'!H101*-1</f>
        <v>-0.59563264541179939</v>
      </c>
      <c r="J11" s="26">
        <f>-($AE$11+$H$11+$I$11)/IF($T$11=0,1,T11)*'KF Non-OECD total'!$H128</f>
        <v>-204.32323967735763</v>
      </c>
      <c r="K11" s="28">
        <f>AE11*'KF Non-OECD total'!H88*-1</f>
        <v>-14.295183489883186</v>
      </c>
      <c r="L11" s="25"/>
      <c r="M11" s="25"/>
      <c r="N11" s="23">
        <f t="shared" si="0"/>
        <v>-3709.9299956308359</v>
      </c>
      <c r="O11" s="6" t="s">
        <v>68</v>
      </c>
      <c r="P11" s="64" t="s">
        <v>69</v>
      </c>
      <c r="Q11" s="69" t="s">
        <v>63</v>
      </c>
      <c r="R11" s="69"/>
      <c r="S11" s="24">
        <f t="shared" si="1"/>
        <v>3514.9984213308603</v>
      </c>
      <c r="T11" s="37">
        <f>'KF Non-OECD total'!H106</f>
        <v>0.96164099698483108</v>
      </c>
      <c r="U11" s="61"/>
      <c r="V11" s="28"/>
      <c r="W11" s="28"/>
      <c r="X11" s="28"/>
      <c r="Y11" s="28"/>
      <c r="Z11" s="28"/>
      <c r="AA11" s="28"/>
      <c r="AB11" s="28"/>
      <c r="AC11" s="28"/>
      <c r="AD11" s="28"/>
      <c r="AE11" s="28">
        <f>AE8*'KF Non-OECD total'!H86</f>
        <v>3514.9984213308603</v>
      </c>
      <c r="AF11" s="28"/>
      <c r="AG11" s="29">
        <f t="shared" si="3"/>
        <v>194.93157429997564</v>
      </c>
      <c r="AH11" s="29">
        <f>-(C11*Emissionsfaktorer!$B$2+D11*Emissionsfaktorer!$B$3+E11*Emissionsfaktorer!$B$4+F11*Emissionsfaktorer!$B$5+G11*Emissionsfaktorer!$B$6+H11*Emissionsfaktorer!$B$7+I11*Emissionsfaktorer!$B$8+J11*Emissionsfaktorer!$B$9+K11*Emissionsfaktorer!$B$10+L11*Emissionsfaktorer!$B$11+M11*Emissionsfaktorer!$B$12)</f>
        <v>198.97080856963643</v>
      </c>
    </row>
    <row r="12" spans="1:34" x14ac:dyDescent="0.35">
      <c r="C12" s="26"/>
      <c r="D12" s="26">
        <f>-X12/IF(T12=0,1,T12)*'KF Non-OECD total'!H130</f>
        <v>-75087.952970098413</v>
      </c>
      <c r="E12" s="25"/>
      <c r="F12" s="26"/>
      <c r="G12" s="26"/>
      <c r="H12" s="26"/>
      <c r="I12" s="26"/>
      <c r="J12" s="27">
        <f>-X12/T12*'KF Non-OECD total'!H131</f>
        <v>0</v>
      </c>
      <c r="K12" s="25"/>
      <c r="L12" s="25"/>
      <c r="M12" s="25"/>
      <c r="N12" s="23">
        <f t="shared" si="0"/>
        <v>-75087.952970098413</v>
      </c>
      <c r="O12" s="6" t="s">
        <v>70</v>
      </c>
      <c r="P12" s="64" t="s">
        <v>71</v>
      </c>
      <c r="Q12" s="69" t="s">
        <v>63</v>
      </c>
      <c r="R12" s="69"/>
      <c r="S12" s="24">
        <f t="shared" si="1"/>
        <v>73224.111888300438</v>
      </c>
      <c r="T12" s="37">
        <f>'KF Non-OECD total'!H107</f>
        <v>0.97517789461459681</v>
      </c>
      <c r="U12" s="61"/>
      <c r="V12" s="28"/>
      <c r="W12" s="28"/>
      <c r="X12" s="28">
        <f>-(E9+E10+E11+E13+E14)</f>
        <v>73224.111888300438</v>
      </c>
      <c r="Y12" s="28"/>
      <c r="Z12" s="28"/>
      <c r="AA12" s="28"/>
      <c r="AB12" s="28"/>
      <c r="AC12" s="28"/>
      <c r="AD12" s="28"/>
      <c r="AE12" s="28"/>
      <c r="AF12" s="28"/>
      <c r="AG12" s="29">
        <f>-(S12+N12)</f>
        <v>1863.8410817979748</v>
      </c>
      <c r="AH12" s="29">
        <f>J12*Emissionsfaktorer!B4</f>
        <v>0</v>
      </c>
    </row>
    <row r="13" spans="1:34" x14ac:dyDescent="0.35">
      <c r="C13" s="28">
        <f>N13*'KF Non-OECD total'!H79</f>
        <v>-2661.2587039999999</v>
      </c>
      <c r="D13" s="28">
        <f>N13*'KF Non-OECD total'!H81</f>
        <v>-409.50815999999992</v>
      </c>
      <c r="E13" s="28">
        <f>N13*'KF Non-OECD total'!H82</f>
        <v>-4147.1284959999994</v>
      </c>
      <c r="F13" s="28">
        <f>N13*'KF Non-OECD total'!H80</f>
        <v>-6869.6040639999992</v>
      </c>
      <c r="G13" s="28"/>
      <c r="H13" s="28"/>
      <c r="I13" s="28"/>
      <c r="J13" s="36">
        <f>N13*'KF Non-OECD total'!H83</f>
        <v>-611.038096</v>
      </c>
      <c r="K13" s="28">
        <f>N13*'KF Non-OECD total'!H77</f>
        <v>-5066.9307199999994</v>
      </c>
      <c r="L13" s="28">
        <f>N13*'KF Non-OECD total'!H78</f>
        <v>-1295.5615519999999</v>
      </c>
      <c r="M13" s="25"/>
      <c r="N13" s="23">
        <f>N16*'KF Non-OECD total'!H75</f>
        <v>-21061.029791999998</v>
      </c>
      <c r="O13" s="6" t="s">
        <v>72</v>
      </c>
      <c r="P13" s="64" t="s">
        <v>73</v>
      </c>
      <c r="Q13" s="69" t="s">
        <v>63</v>
      </c>
      <c r="R13" s="69"/>
      <c r="S13" s="24">
        <f t="shared" si="1"/>
        <v>0</v>
      </c>
      <c r="T13" s="37">
        <v>0</v>
      </c>
      <c r="U13" s="61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9">
        <f>-(S13+N13)</f>
        <v>21061.029791999998</v>
      </c>
      <c r="AH13" s="29">
        <f>-(C13*Emissionsfaktorer!$B$2+D13*Emissionsfaktorer!$B$3+E13*Emissionsfaktorer!$B$4+F13*Emissionsfaktorer!$B$5+G13*Emissionsfaktorer!$B$6+H13*Emissionsfaktorer!$B$7+I13*Emissionsfaktorer!$B$8+J13*Emissionsfaktorer!$B$9+K13*Emissionsfaktorer!$B$10+L13*Emissionsfaktorer!$B$11+M13*Emissionsfaktorer!$B$12)</f>
        <v>959.56877422399998</v>
      </c>
    </row>
    <row r="14" spans="1:34" x14ac:dyDescent="0.35">
      <c r="C14" s="15"/>
      <c r="D14" s="15"/>
      <c r="E14" s="16">
        <f>-X14*1</f>
        <v>-63543.910705140188</v>
      </c>
      <c r="F14" s="15"/>
      <c r="G14" s="15"/>
      <c r="H14" s="15"/>
      <c r="I14" s="15"/>
      <c r="J14" s="20"/>
      <c r="K14" s="16">
        <f>-AD14*(1+'KF Non-OECD total'!H72)</f>
        <v>-50264.910388092299</v>
      </c>
      <c r="L14" s="16">
        <f>-AE14*(1+'KF Non-OECD total'!H73)</f>
        <v>-10667.507405151204</v>
      </c>
      <c r="M14" s="16"/>
      <c r="N14" s="23">
        <f t="shared" si="0"/>
        <v>-124476.32849838369</v>
      </c>
      <c r="O14" s="22" t="s">
        <v>74</v>
      </c>
      <c r="P14" s="66" t="s">
        <v>75</v>
      </c>
      <c r="Q14" s="70"/>
      <c r="R14" s="70"/>
      <c r="S14" s="24">
        <f t="shared" si="1"/>
        <v>118916.1460562093</v>
      </c>
      <c r="T14" s="37"/>
      <c r="U14" s="61"/>
      <c r="V14" s="16"/>
      <c r="W14" s="16"/>
      <c r="X14" s="16">
        <f>-E16</f>
        <v>63543.910705140188</v>
      </c>
      <c r="Y14" s="16"/>
      <c r="Z14" s="16"/>
      <c r="AA14" s="16"/>
      <c r="AB14" s="16"/>
      <c r="AC14" s="16"/>
      <c r="AD14" s="16">
        <f>-K16</f>
        <v>45318.696352416962</v>
      </c>
      <c r="AE14" s="16">
        <f>-L16</f>
        <v>10053.538998652148</v>
      </c>
      <c r="AF14" s="16"/>
      <c r="AG14" s="21">
        <f>-(N14+S14)</f>
        <v>5560.182442174395</v>
      </c>
      <c r="AH14" s="21"/>
    </row>
    <row r="15" spans="1:34" x14ac:dyDescent="0.35"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23">
        <f t="shared" si="0"/>
        <v>0</v>
      </c>
      <c r="O15" s="22" t="s">
        <v>76</v>
      </c>
      <c r="P15" s="67" t="s">
        <v>77</v>
      </c>
      <c r="Q15" s="66"/>
      <c r="R15" s="66"/>
      <c r="S15" s="24">
        <f t="shared" si="1"/>
        <v>1550.0981954120803</v>
      </c>
      <c r="T15" s="37"/>
      <c r="U15" s="61"/>
      <c r="V15" s="14"/>
      <c r="W15" s="14"/>
      <c r="X15" s="14"/>
      <c r="Y15" s="14"/>
      <c r="Z15" s="14"/>
      <c r="AA15" s="14"/>
      <c r="AB15" s="14">
        <f>I16*-1</f>
        <v>1550.0981954120803</v>
      </c>
      <c r="AC15" s="14"/>
      <c r="AD15" s="14"/>
      <c r="AE15" s="14"/>
      <c r="AF15" s="14"/>
      <c r="AG15" s="14"/>
      <c r="AH15" s="14"/>
    </row>
    <row r="16" spans="1:34" x14ac:dyDescent="0.35">
      <c r="C16" s="14">
        <f t="shared" ref="C16:M16" si="4">SUM(C17:C19)</f>
        <v>-35370.706405961333</v>
      </c>
      <c r="D16" s="14">
        <f t="shared" si="4"/>
        <v>-103.088864</v>
      </c>
      <c r="E16" s="14">
        <f t="shared" si="4"/>
        <v>-63543.910705140188</v>
      </c>
      <c r="F16" s="14">
        <f t="shared" si="4"/>
        <v>-28075.629961425802</v>
      </c>
      <c r="G16" s="14">
        <f t="shared" si="4"/>
        <v>0</v>
      </c>
      <c r="H16" s="14">
        <f t="shared" si="4"/>
        <v>0</v>
      </c>
      <c r="I16" s="14">
        <f t="shared" si="4"/>
        <v>-1550.0981954120803</v>
      </c>
      <c r="J16" s="14">
        <f t="shared" si="4"/>
        <v>-33298.202715827661</v>
      </c>
      <c r="K16" s="14">
        <f t="shared" si="4"/>
        <v>-45318.696352416962</v>
      </c>
      <c r="L16" s="14">
        <f t="shared" si="4"/>
        <v>-10053.538998652148</v>
      </c>
      <c r="M16" s="14">
        <f t="shared" si="4"/>
        <v>0</v>
      </c>
      <c r="N16" s="23">
        <f>'KF Non-OECD total'!H5</f>
        <v>-217316.85241600001</v>
      </c>
      <c r="O16" s="10" t="s">
        <v>78</v>
      </c>
      <c r="P16" s="71" t="s">
        <v>79</v>
      </c>
      <c r="Q16" s="71"/>
      <c r="R16" s="71"/>
      <c r="S16" s="24">
        <f t="shared" si="1"/>
        <v>156539.07286320001</v>
      </c>
      <c r="T16" s="37"/>
      <c r="U16" s="61"/>
      <c r="V16" s="14"/>
      <c r="W16" s="14"/>
      <c r="X16" s="14"/>
      <c r="Y16" s="14"/>
      <c r="Z16" s="14"/>
      <c r="AA16" s="14"/>
      <c r="AB16" s="14"/>
      <c r="AC16" s="14"/>
      <c r="AD16" s="14"/>
      <c r="AE16" s="14"/>
      <c r="AF16" s="14">
        <f>SUM(AF17:AF19)</f>
        <v>156539.07286320001</v>
      </c>
      <c r="AG16" s="14">
        <f t="shared" ref="AG16:AH16" si="5">SUM(AG17:AG19)</f>
        <v>60774.799335636155</v>
      </c>
      <c r="AH16" s="14">
        <f t="shared" si="5"/>
        <v>9789.86522995825</v>
      </c>
    </row>
    <row r="17" spans="3:34" x14ac:dyDescent="0.35">
      <c r="C17" s="25">
        <f>AF17*'KF Non-OECD total'!H15/T17*'KF Non-OECD total'!H139/'KF Non-OECD total'!H$139*-1</f>
        <v>-29914.654832000004</v>
      </c>
      <c r="D17" s="25">
        <f>AF17*'KF Non-OECD total'!H16/T17*'KF Non-OECD total'!H139/'KF Non-OECD total'!H$139*-1</f>
        <v>-103.088864</v>
      </c>
      <c r="E17" s="25">
        <f>AF17*'KF Non-OECD total'!H17/T17*'KF Non-OECD total'!H139/'KF Non-OECD total'!H$139*-1</f>
        <v>-8264.4022559999994</v>
      </c>
      <c r="F17" s="25">
        <f>AF17*'KF Non-OECD total'!H18/T17*'KF Non-OECD total'!H139/'KF Non-OECD total'!H$139*-1</f>
        <v>-13200.77608</v>
      </c>
      <c r="G17" s="25"/>
      <c r="H17" s="25"/>
      <c r="I17" s="25">
        <f>AF17*'KF Non-OECD total'!H19/T17*'KF Non-OECD total'!H142/'KF Non-OECD total'!H$142*-1</f>
        <v>-22.945855999999999</v>
      </c>
      <c r="J17" s="25">
        <f>AF17*'KF Non-OECD total'!H20*'KF Non-OECD total'!H139/T17/'KF Non-OECD total'!H$139*-1</f>
        <v>-5126.8495519999997</v>
      </c>
      <c r="K17" s="25">
        <f>AF17*'KF Non-OECD total'!H21*'KF Non-OECD total'!H141/T17/'KF Non-OECD total'!H$141*-1</f>
        <v>-22600.788847999997</v>
      </c>
      <c r="L17" s="25">
        <f>AF17*'KF Non-OECD total'!H22*'KF Non-OECD total'!H142/T17/'KF Non-OECD total'!H$142*-1</f>
        <v>-4877.4599200000002</v>
      </c>
      <c r="M17" s="25"/>
      <c r="N17" s="23">
        <f>SUM(C17:L17)</f>
        <v>-84110.966207999998</v>
      </c>
      <c r="O17" s="6" t="s">
        <v>80</v>
      </c>
      <c r="P17" s="64" t="s">
        <v>81</v>
      </c>
      <c r="Q17" s="69" t="s">
        <v>79</v>
      </c>
      <c r="R17" s="69"/>
      <c r="S17" s="24">
        <f t="shared" si="1"/>
        <v>71658.972448799992</v>
      </c>
      <c r="T17" s="37">
        <f>('KF Non-OECD total'!H15+'KF Non-OECD total'!H16+'KF Non-OECD total'!H17+'KF Non-OECD total'!H18+'KF Non-OECD total'!H20)*'KF Non-OECD total'!H139+('KF Non-OECD total'!H19+'KF Non-OECD total'!H22)*'KF Non-OECD total'!H142+'KF Non-OECD total'!H21*'KF Non-OECD total'!H141</f>
        <v>0.85195754702891913</v>
      </c>
      <c r="U17" s="61"/>
      <c r="V17" s="25"/>
      <c r="W17" s="25"/>
      <c r="X17" s="25"/>
      <c r="Y17" s="25"/>
      <c r="Z17" s="25"/>
      <c r="AA17" s="25"/>
      <c r="AB17" s="25"/>
      <c r="AC17" s="25"/>
      <c r="AD17" s="25"/>
      <c r="AE17" s="25"/>
      <c r="AF17" s="25">
        <f>'KF Non-OECD total'!H5*'KF Non-OECD total'!H7*(('KF Non-OECD total'!G15+'KF Non-OECD total'!G16+'KF Non-OECD total'!G17+'KF Non-OECD total'!G18+'KF Non-OECD total'!G20)*'KF Non-OECD total'!G139+('KF Non-OECD total'!G19+'KF Non-OECD total'!G22)*'KF Non-OECD total'!G142+'KF Non-OECD total'!G21*'KF Non-OECD total'!G141)*-1</f>
        <v>71658.972448799992</v>
      </c>
      <c r="AG17" s="25">
        <f>(S17+SUM(C17:M17))*-1</f>
        <v>12451.993759200006</v>
      </c>
      <c r="AH17" s="29">
        <f>-(C17*Emissionsfaktorer!$B$2+D17*Emissionsfaktorer!$B$3+E17*Emissionsfaktorer!$B$4+F17*Emissionsfaktorer!$B$5+G17*Emissionsfaktorer!$B$6+H17*Emissionsfaktorer!$B$7+I17*Emissionsfaktorer!$B$8+J17*Emissionsfaktorer!$B$9+K17*Emissionsfaktorer!$B$10+L17*Emissionsfaktorer!$B$11+M17*Emissionsfaktorer!$B$12)</f>
        <v>4222.4310170560002</v>
      </c>
    </row>
    <row r="18" spans="3:34" x14ac:dyDescent="0.35">
      <c r="C18" s="25">
        <f>AF18*'KF Non-OECD total'!H24/T18*'KF Non-OECD total'!H140/'KF Non-OECD total'!H$140*-1</f>
        <v>-1.6747858520206258</v>
      </c>
      <c r="D18" s="25"/>
      <c r="E18" s="25">
        <f>AF18*'KF Non-OECD total'!H25/T18*'KF Non-OECD total'!H140/'KF Non-OECD total'!H$140*-1</f>
        <v>-44084.131893349913</v>
      </c>
      <c r="F18" s="25">
        <f>AF18*'KF Non-OECD total'!H26/T18*'KF Non-OECD total'!H140/'KF Non-OECD total'!H$140*-1</f>
        <v>-3612.5549524547905</v>
      </c>
      <c r="G18" s="25"/>
      <c r="H18" s="25"/>
      <c r="I18" s="25">
        <f>AF18*'KF Non-OECD total'!H27/T18*'KF Non-OECD total'!H142/'KF Non-OECD total'!H$142*-1</f>
        <v>0</v>
      </c>
      <c r="J18" s="25">
        <f>AF18*'KF Non-OECD total'!H28/T18*'KF Non-OECD total'!H140/'KF Non-OECD total'!H$140*-1</f>
        <v>-1326.5141340929365</v>
      </c>
      <c r="K18" s="25">
        <f>AF18*'KF Non-OECD total'!H29/T18*'KF Non-OECD total'!H141/'KF Non-OECD total'!H$141*-1</f>
        <v>-983.68547018431457</v>
      </c>
      <c r="L18" s="25">
        <f>AF18*'KF Non-OECD total'!H30/T18*'KF Non-OECD total'!H142/'KF Non-OECD total'!H$142*-1</f>
        <v>0</v>
      </c>
      <c r="M18" s="25"/>
      <c r="N18" s="23">
        <f>SUM(C18:L18)</f>
        <v>-50008.561235933965</v>
      </c>
      <c r="O18" s="6" t="s">
        <v>82</v>
      </c>
      <c r="P18" s="64" t="s">
        <v>83</v>
      </c>
      <c r="Q18" s="69" t="s">
        <v>79</v>
      </c>
      <c r="R18" s="69"/>
      <c r="S18" s="24">
        <f t="shared" si="1"/>
        <v>15641.9639264</v>
      </c>
      <c r="T18" s="37">
        <f>('KF Non-OECD total'!H24+'KF Non-OECD total'!H25+'KF Non-OECD total'!H26+'KF Non-OECD total'!H28)*'KF Non-OECD total'!H140+('KF Non-OECD total'!H27+'KF Non-OECD total'!H30)*'KF Non-OECD total'!H142+'KF Non-OECD total'!H29*'KF Non-OECD total'!H141</f>
        <v>0.31278572188076398</v>
      </c>
      <c r="U18" s="61"/>
      <c r="V18" s="25"/>
      <c r="W18" s="25"/>
      <c r="X18" s="25"/>
      <c r="Y18" s="25"/>
      <c r="Z18" s="25"/>
      <c r="AA18" s="25"/>
      <c r="AB18" s="25"/>
      <c r="AC18" s="25"/>
      <c r="AD18" s="25"/>
      <c r="AE18" s="25"/>
      <c r="AF18" s="25">
        <f>'KF Non-OECD total'!H5*'KF Non-OECD total'!H8*-1*(('KF Non-OECD total'!G24+'KF Non-OECD total'!G25+'KF Non-OECD total'!G26+'KF Non-OECD total'!G28)*'KF Non-OECD total'!G140+('KF Non-OECD total'!G27+'KF Non-OECD total'!G30)*'KF Non-OECD total'!G142+'KF Non-OECD total'!G29*'KF Non-OECD total'!G141)</f>
        <v>15641.9639264</v>
      </c>
      <c r="AG18" s="25">
        <f>(S18+SUM(C18:M18))*-1</f>
        <v>34366.597309533965</v>
      </c>
      <c r="AH18" s="29">
        <f>-(C18*Emissionsfaktorer!$B$2+D18*Emissionsfaktorer!$B$3+E18*Emissionsfaktorer!$B$4+F18*Emissionsfaktorer!$B$5+G18*Emissionsfaktorer!$B$6+H18*Emissionsfaktorer!$B$7+I18*Emissionsfaktorer!$B$8+J18*Emissionsfaktorer!$B$9+K18*Emissionsfaktorer!$B$10+L18*Emissionsfaktorer!$B$11+M18*Emissionsfaktorer!$B$12)</f>
        <v>3556.4687608404583</v>
      </c>
    </row>
    <row r="19" spans="3:34" x14ac:dyDescent="0.35">
      <c r="C19" s="25">
        <f>SUM(C20:C24)</f>
        <v>-5454.3767881093054</v>
      </c>
      <c r="D19" s="25">
        <f t="shared" ref="D19:M19" si="6">SUM(D20:D24)</f>
        <v>0</v>
      </c>
      <c r="E19" s="25">
        <f t="shared" si="6"/>
        <v>-11195.376555790273</v>
      </c>
      <c r="F19" s="25">
        <f t="shared" si="6"/>
        <v>-11262.298928971015</v>
      </c>
      <c r="G19" s="25">
        <f t="shared" si="6"/>
        <v>0</v>
      </c>
      <c r="H19" s="25">
        <f t="shared" si="6"/>
        <v>0</v>
      </c>
      <c r="I19" s="25">
        <f t="shared" si="6"/>
        <v>-1527.1523394120802</v>
      </c>
      <c r="J19" s="25">
        <f t="shared" si="6"/>
        <v>-26844.839029734729</v>
      </c>
      <c r="K19" s="25">
        <f t="shared" si="6"/>
        <v>-21734.222034232651</v>
      </c>
      <c r="L19" s="25">
        <f t="shared" si="6"/>
        <v>-5176.0790786521484</v>
      </c>
      <c r="M19" s="25">
        <f t="shared" si="6"/>
        <v>0</v>
      </c>
      <c r="N19" s="23">
        <f>SUM(N20:N24)</f>
        <v>-83194.344754902195</v>
      </c>
      <c r="O19" s="6" t="s">
        <v>84</v>
      </c>
      <c r="P19" s="64" t="s">
        <v>85</v>
      </c>
      <c r="Q19" s="69" t="s">
        <v>79</v>
      </c>
      <c r="R19" s="69"/>
      <c r="S19" s="24">
        <f t="shared" si="1"/>
        <v>69238.136488000018</v>
      </c>
      <c r="T19" s="37">
        <v>0.8</v>
      </c>
      <c r="U19" s="61"/>
      <c r="V19" s="25">
        <f>SUM(V20:V24)</f>
        <v>0</v>
      </c>
      <c r="W19" s="25">
        <f t="shared" ref="W19:AH19" si="7">SUM(W20:W24)</f>
        <v>0</v>
      </c>
      <c r="X19" s="25">
        <f t="shared" si="7"/>
        <v>0</v>
      </c>
      <c r="Y19" s="25">
        <f t="shared" si="7"/>
        <v>0</v>
      </c>
      <c r="Z19" s="25">
        <f t="shared" si="7"/>
        <v>0</v>
      </c>
      <c r="AA19" s="25">
        <f t="shared" si="7"/>
        <v>0</v>
      </c>
      <c r="AB19" s="25">
        <f t="shared" si="7"/>
        <v>0</v>
      </c>
      <c r="AC19" s="25">
        <f t="shared" si="7"/>
        <v>0</v>
      </c>
      <c r="AD19" s="25">
        <f t="shared" si="7"/>
        <v>0</v>
      </c>
      <c r="AE19" s="25">
        <f t="shared" si="7"/>
        <v>0</v>
      </c>
      <c r="AF19" s="25">
        <f t="shared" si="7"/>
        <v>69238.136488000018</v>
      </c>
      <c r="AG19" s="25">
        <f t="shared" si="7"/>
        <v>13956.208266902184</v>
      </c>
      <c r="AH19" s="25">
        <f t="shared" si="7"/>
        <v>2010.9654520617923</v>
      </c>
    </row>
    <row r="20" spans="3:34" x14ac:dyDescent="0.35">
      <c r="C20" s="92">
        <f>AF20*'KF Non-OECD total'!H$32/T20*'KF Non-OECD total'!H$139/'KF Non-OECD total'!H$139*-1</f>
        <v>-2667.5395040000012</v>
      </c>
      <c r="D20" s="92"/>
      <c r="E20" s="92">
        <f>AF20*'KF Non-OECD total'!H33/T20*'KF Non-OECD total'!H$140/'KF Non-OECD total'!H$140*-1</f>
        <v>-6183.4476000000022</v>
      </c>
      <c r="F20" s="92">
        <f>AF20*'KF Non-OECD total'!H$34/T20*'KF Non-OECD total'!H$140/'KF Non-OECD total'!H$140*-1</f>
        <v>-8951.6473920000044</v>
      </c>
      <c r="G20" s="92"/>
      <c r="H20" s="92"/>
      <c r="I20" s="92">
        <f>AF20*'KF Non-OECD total'!H$35/T20*'KF Non-OECD total'!H$142/'KF Non-OECD total'!H$142*-1</f>
        <v>-1168.7731360000005</v>
      </c>
      <c r="J20" s="92">
        <f>AF20*'KF Non-OECD total'!H$36/T20*'KF Non-OECD total'!H$140/'KF Non-OECD total'!H$140*-1</f>
        <v>-25544.181088000012</v>
      </c>
      <c r="K20" s="92">
        <f>AF20*'KF Non-OECD total'!H$37/T20*'KF Non-OECD total'!H$141/'KF Non-OECD total'!H$141*-1</f>
        <v>-10747.788704000002</v>
      </c>
      <c r="L20" s="92">
        <f>AF20*'KF Non-OECD total'!H$38/T20*'KF Non-OECD total'!H$142/'KF Non-OECD total'!H$142*-1</f>
        <v>-3604.6348640000015</v>
      </c>
      <c r="M20" s="92"/>
      <c r="N20" s="23">
        <f>SUM(C20:L20)</f>
        <v>-58868.01228800002</v>
      </c>
      <c r="O20" s="84" t="s">
        <v>86</v>
      </c>
      <c r="P20" s="85" t="s">
        <v>87</v>
      </c>
      <c r="Q20" s="86" t="s">
        <v>85</v>
      </c>
      <c r="R20" s="86"/>
      <c r="S20" s="24">
        <f t="shared" si="1"/>
        <v>49661.259736000015</v>
      </c>
      <c r="T20" s="37">
        <f>('KF Non-OECD total'!H32+'KF Non-OECD total'!H33+'KF Non-OECD total'!H34+'KF Non-OECD total'!H36)*'KF Non-OECD total'!H139+('KF Non-OECD total'!H35+'KF Non-OECD total'!H38)*'KF Non-OECD total'!H142+'KF Non-OECD total'!H37*'KF Non-OECD total'!H141</f>
        <v>0.84360347505946343</v>
      </c>
      <c r="U20" s="61"/>
      <c r="V20" s="92"/>
      <c r="W20" s="92"/>
      <c r="X20" s="92"/>
      <c r="Y20" s="92"/>
      <c r="Z20" s="92"/>
      <c r="AA20" s="92"/>
      <c r="AB20" s="92"/>
      <c r="AC20" s="92"/>
      <c r="AD20" s="92"/>
      <c r="AE20" s="92"/>
      <c r="AF20" s="92">
        <f>'KF Non-OECD total'!H5*'KF Non-OECD total'!H9*(('KF Non-OECD total'!G32+'KF Non-OECD total'!G33+'KF Non-OECD total'!G34+'KF Non-OECD total'!G36)*'KF Non-OECD total'!G139+('KF Non-OECD total'!G35+'KF Non-OECD total'!G38)*'KF Non-OECD total'!G142+'KF Non-OECD total'!G37*'KF Non-OECD total'!G141)*-1</f>
        <v>49661.259736000015</v>
      </c>
      <c r="AG20" s="92">
        <f>(N20+AF20)*-1</f>
        <v>9206.7525520000054</v>
      </c>
      <c r="AH20" s="87">
        <f>-(C20*Emissionsfaktorer!$B$2+D20*Emissionsfaktorer!$B$3+E20*Emissionsfaktorer!$B$4+F20*Emissionsfaktorer!$B$5+G20*Emissionsfaktorer!$B$6+H20*Emissionsfaktorer!$B$7+I20*Emissionsfaktorer!$B$8+J20*Emissionsfaktorer!$B$9+K20*Emissionsfaktorer!$B$10+L20*Emissionsfaktorer!$B$11+M20*Emissionsfaktorer!$B$12)</f>
        <v>1233.6021718240006</v>
      </c>
    </row>
    <row r="21" spans="3:34" x14ac:dyDescent="0.35">
      <c r="C21" s="92">
        <f>AF21*'KF Non-OECD total'!H$40/T21*'KF Non-OECD total'!H$139/'KF Non-OECD total'!H$139*-1</f>
        <v>-1121.2027661288423</v>
      </c>
      <c r="D21" s="92"/>
      <c r="E21" s="92">
        <f>AF21*'KF Non-OECD total'!H41/T21*'KF Non-OECD total'!H$140/'KF Non-OECD total'!H$140*-1</f>
        <v>-1534.6873729004119</v>
      </c>
      <c r="F21" s="92">
        <f>AF21*'KF Non-OECD total'!H$42/T21*'KF Non-OECD total'!H$140/'KF Non-OECD total'!H$140*-1</f>
        <v>-2028.3565894914805</v>
      </c>
      <c r="G21" s="92"/>
      <c r="H21" s="92"/>
      <c r="I21" s="92">
        <f>AF21*'KF Non-OECD total'!H$43/T21*'KF Non-OECD total'!H$142/'KF Non-OECD total'!H$142*-1</f>
        <v>-247.5464298970652</v>
      </c>
      <c r="J21" s="92">
        <f>AF21*'KF Non-OECD total'!H$44/T21*'KF Non-OECD total'!H$140/'KF Non-OECD total'!H$140*-1</f>
        <v>-915.0257328383907</v>
      </c>
      <c r="K21" s="92">
        <f>AF21*'KF Non-OECD total'!H$45/T21*'KF Non-OECD total'!H$141/'KF Non-OECD total'!H$141*-1</f>
        <v>-6244.5178072173421</v>
      </c>
      <c r="L21" s="92">
        <f>AF21*'KF Non-OECD total'!H$46/T21*'KF Non-OECD total'!H$142/'KF Non-OECD total'!H$142*-1</f>
        <v>-1146.2421377591609</v>
      </c>
      <c r="M21" s="92"/>
      <c r="N21" s="23">
        <f t="shared" ref="N21:N24" si="8">SUM(C21:L21)</f>
        <v>-13237.578836232693</v>
      </c>
      <c r="O21" s="84" t="s">
        <v>88</v>
      </c>
      <c r="P21" s="85" t="s">
        <v>89</v>
      </c>
      <c r="Q21" s="86" t="s">
        <v>85</v>
      </c>
      <c r="R21" s="86"/>
      <c r="S21" s="24">
        <f t="shared" si="1"/>
        <v>11805.498453599999</v>
      </c>
      <c r="T21" s="37">
        <f>('KF Non-OECD total'!H40+'KF Non-OECD total'!H41+'KF Non-OECD total'!H42+'KF Non-OECD total'!H44)*'KF Non-OECD total'!H139+('KF Non-OECD total'!H43+'KF Non-OECD total'!H46)*'KF Non-OECD total'!H142+'KF Non-OECD total'!H45*'KF Non-OECD total'!H141</f>
        <v>0.89181704597573885</v>
      </c>
      <c r="U21" s="61"/>
      <c r="V21" s="92"/>
      <c r="W21" s="92"/>
      <c r="X21" s="92"/>
      <c r="Y21" s="92"/>
      <c r="Z21" s="92"/>
      <c r="AA21" s="92"/>
      <c r="AB21" s="92"/>
      <c r="AC21" s="92"/>
      <c r="AD21" s="92"/>
      <c r="AE21" s="92"/>
      <c r="AF21" s="92">
        <f>'KF Non-OECD total'!H5*'KF Non-OECD total'!H10*(('KF Non-OECD total'!G40+'KF Non-OECD total'!G41+'KF Non-OECD total'!G42+'KF Non-OECD total'!G44)*'KF Non-OECD total'!G139+('KF Non-OECD total'!G43+'KF Non-OECD total'!G46)*'KF Non-OECD total'!G142+'KF Non-OECD total'!G45*'KF Non-OECD total'!G141)*-1</f>
        <v>11805.498453599999</v>
      </c>
      <c r="AG21" s="92">
        <f t="shared" ref="AG21:AG24" si="9">(N21+AF21)*-1</f>
        <v>1432.0803826326937</v>
      </c>
      <c r="AH21" s="87">
        <f>-(C21*Emissionsfaktorer!$B$2+D21*Emissionsfaktorer!$B$3+E21*Emissionsfaktorer!$B$4+F21*Emissionsfaktorer!$B$5+G21*Emissionsfaktorer!$B$6+H21*Emissionsfaktorer!$B$7+I21*Emissionsfaktorer!$B$8+J21*Emissionsfaktorer!$B$9+K21*Emissionsfaktorer!$B$10+L21*Emissionsfaktorer!$B$11+M21*Emissionsfaktorer!$B$12)</f>
        <v>338.76682872368571</v>
      </c>
    </row>
    <row r="22" spans="3:34" x14ac:dyDescent="0.35">
      <c r="C22" s="92">
        <f>AF22*'KF Non-OECD total'!H$48/T22*'KF Non-OECD total'!H$139/'KF Non-OECD total'!H$139*-1</f>
        <v>-608.21736397189932</v>
      </c>
      <c r="D22" s="92"/>
      <c r="E22" s="92">
        <f>AF22*'KF Non-OECD total'!H49/T22*'KF Non-OECD total'!H$140/'KF Non-OECD total'!H$140*-1</f>
        <v>-2641.9310900822611</v>
      </c>
      <c r="F22" s="92">
        <f>AF22*'KF Non-OECD total'!H$50/T22*'KF Non-OECD total'!H$140/'KF Non-OECD total'!H$140*-1</f>
        <v>-175.52300631765124</v>
      </c>
      <c r="G22" s="92"/>
      <c r="H22" s="92"/>
      <c r="I22" s="92">
        <f>AF22*'KF Non-OECD total'!H$51/T22*'KF Non-OECD total'!H$142/'KF Non-OECD total'!H$142*-1</f>
        <v>-62.136484106725767</v>
      </c>
      <c r="J22" s="92">
        <f>AF22*'KF Non-OECD total'!H$52/T22*'KF Non-OECD total'!H$140/'KF Non-OECD total'!H$140*-1</f>
        <v>-321.56886653615493</v>
      </c>
      <c r="K22" s="92">
        <f>AF22*'KF Non-OECD total'!H$53/T22*'KF Non-OECD total'!H$141/'KF Non-OECD total'!H$141*-1</f>
        <v>-1891.6874767235599</v>
      </c>
      <c r="L22" s="92">
        <f>AF22*'KF Non-OECD total'!H$54/T22*'KF Non-OECD total'!H$142/'KF Non-OECD total'!H$142*-1</f>
        <v>-177.53281173350217</v>
      </c>
      <c r="M22" s="92"/>
      <c r="N22" s="23">
        <f t="shared" si="8"/>
        <v>-5878.5970994717545</v>
      </c>
      <c r="O22" s="84" t="s">
        <v>90</v>
      </c>
      <c r="P22" s="85" t="s">
        <v>91</v>
      </c>
      <c r="Q22" s="86" t="s">
        <v>85</v>
      </c>
      <c r="R22" s="86"/>
      <c r="S22" s="24">
        <f t="shared" si="1"/>
        <v>3160.9444967999998</v>
      </c>
      <c r="T22" s="37">
        <f>('KF Non-OECD total'!H48+'KF Non-OECD total'!H49+'KF Non-OECD total'!H50+'KF Non-OECD total'!H52)*'KF Non-OECD total'!H140+('KF Non-OECD total'!H51+'KF Non-OECD total'!H54)*'KF Non-OECD total'!H142+'KF Non-OECD total'!H53*'KF Non-OECD total'!H141</f>
        <v>0.53770388467072172</v>
      </c>
      <c r="U22" s="61"/>
      <c r="V22" s="92"/>
      <c r="W22" s="92"/>
      <c r="X22" s="92"/>
      <c r="Y22" s="92"/>
      <c r="Z22" s="92"/>
      <c r="AA22" s="92"/>
      <c r="AB22" s="92"/>
      <c r="AC22" s="92"/>
      <c r="AD22" s="92"/>
      <c r="AE22" s="92"/>
      <c r="AF22" s="92">
        <f>(('KF Non-OECD total'!G48+'KF Non-OECD total'!G49+'KF Non-OECD total'!G50+'KF Non-OECD total'!G52)*'KF Non-OECD total'!G140+('KF Non-OECD total'!G51+'KF Non-OECD total'!G54)*'KF Non-OECD total'!G142+'KF Non-OECD total'!G53*'KF Non-OECD total'!G141)*'KF Non-OECD total'!H11*'KF Non-OECD total'!H5*-1</f>
        <v>3160.9444967999998</v>
      </c>
      <c r="AG22" s="92">
        <f t="shared" si="9"/>
        <v>2717.6526026717547</v>
      </c>
      <c r="AH22" s="87">
        <f>-(C22*Emissionsfaktorer!$B$2+D22*Emissionsfaktorer!$B$3+E22*Emissionsfaktorer!$B$4+F22*Emissionsfaktorer!$B$5+G22*Emissionsfaktorer!$B$6+H22*Emissionsfaktorer!$B$7+I22*Emissionsfaktorer!$B$8+J22*Emissionsfaktorer!$B$9+K22*Emissionsfaktorer!$B$10+L22*Emissionsfaktorer!$B$11+M22*Emissionsfaktorer!$B$12)</f>
        <v>268.5722237836884</v>
      </c>
    </row>
    <row r="23" spans="3:34" x14ac:dyDescent="0.35">
      <c r="C23" s="92">
        <f>AF23*'KF Non-OECD total'!H$56/T23*'KF Non-OECD total'!H$139/'KF Non-OECD total'!H$139*-1</f>
        <v>-4.1920622906735108E-2</v>
      </c>
      <c r="D23" s="92"/>
      <c r="E23" s="92">
        <f>AF23*'KF Non-OECD total'!H57/T23*'KF Non-OECD total'!H$140/'KF Non-OECD total'!H$140*-1</f>
        <v>-88.536355579024558</v>
      </c>
      <c r="F23" s="92">
        <f>AF23*'KF Non-OECD total'!H$58/T23*'KF Non-OECD total'!H$140/'KF Non-OECD total'!H$140*-1</f>
        <v>-0.16768249162694043</v>
      </c>
      <c r="G23" s="92"/>
      <c r="H23" s="92"/>
      <c r="I23" s="92">
        <f>AF23*'KF Non-OECD total'!H$59/T23*'KF Non-OECD total'!H$142/'KF Non-OECD total'!H$142*-1</f>
        <v>0</v>
      </c>
      <c r="J23" s="92">
        <f>AF23*'KF Non-OECD total'!H$60/T23*'KF Non-OECD total'!H$140/'KF Non-OECD total'!H$140*-1</f>
        <v>-0.25152373744041062</v>
      </c>
      <c r="K23" s="92">
        <f>AF23*'KF Non-OECD total'!H$61/T23*'KF Non-OECD total'!H$141/'KF Non-OECD total'!H$141*-1</f>
        <v>-7.3780296315853855</v>
      </c>
      <c r="L23" s="92">
        <f>AF23*'KF Non-OECD total'!H$62/T23*'KF Non-OECD total'!H$142/'KF Non-OECD total'!H$142*-1</f>
        <v>-0.58688872069429154</v>
      </c>
      <c r="M23" s="92"/>
      <c r="N23" s="23">
        <f t="shared" si="8"/>
        <v>-96.962400783278312</v>
      </c>
      <c r="O23" s="84" t="s">
        <v>92</v>
      </c>
      <c r="P23" s="85" t="s">
        <v>93</v>
      </c>
      <c r="Q23" s="86" t="s">
        <v>85</v>
      </c>
      <c r="R23" s="86"/>
      <c r="S23" s="24">
        <f t="shared" si="1"/>
        <v>34.295261599999996</v>
      </c>
      <c r="T23" s="37">
        <f>('KF Non-OECD total'!H56+'KF Non-OECD total'!H57+'KF Non-OECD total'!H58+'KF Non-OECD total'!H60)*'KF Non-OECD total'!H140+('KF Non-OECD total'!H59+'KF Non-OECD total'!H62)*'KF Non-OECD total'!H142+'KF Non-OECD total'!H61*'KF Non-OECD total'!H141</f>
        <v>0.35369649805447473</v>
      </c>
      <c r="U23" s="61"/>
      <c r="V23" s="92"/>
      <c r="W23" s="92"/>
      <c r="X23" s="92"/>
      <c r="Y23" s="92"/>
      <c r="Z23" s="92"/>
      <c r="AA23" s="92"/>
      <c r="AB23" s="92"/>
      <c r="AC23" s="92"/>
      <c r="AD23" s="92"/>
      <c r="AE23" s="92"/>
      <c r="AF23" s="92">
        <f>(('KF Non-OECD total'!G56+'KF Non-OECD total'!G57+'KF Non-OECD total'!G58+'KF Non-OECD total'!G60)*'KF Non-OECD total'!G140+('KF Non-OECD total'!G59+'KF Non-OECD total'!G62)*'KF Non-OECD total'!G142+'KF Non-OECD total'!G61*'KF Non-OECD total'!G141)*'KF Non-OECD total'!H5*'KF Non-OECD total'!H12*-1</f>
        <v>34.295261599999996</v>
      </c>
      <c r="AG23" s="92">
        <f t="shared" si="9"/>
        <v>62.667139183278316</v>
      </c>
      <c r="AH23" s="87">
        <f>-(C23*Emissionsfaktorer!$B$2+D23*Emissionsfaktorer!$B$3+E23*Emissionsfaktorer!$B$4+F23*Emissionsfaktorer!$B$5+G23*Emissionsfaktorer!$B$6+H23*Emissionsfaktorer!$B$7+I23*Emissionsfaktorer!$B$8+J23*Emissionsfaktorer!$B$9+K23*Emissionsfaktorer!$B$10+L23*Emissionsfaktorer!$B$11+M23*Emissionsfaktorer!$B$12)</f>
        <v>6.7423033852047416</v>
      </c>
    </row>
    <row r="24" spans="3:34" x14ac:dyDescent="0.35">
      <c r="C24" s="92">
        <f>AF24*'KF Non-OECD total'!H$64/T24*'KF Non-OECD total'!H$139/'KF Non-OECD total'!H$139*-1</f>
        <v>-1057.3752333856557</v>
      </c>
      <c r="D24" s="92"/>
      <c r="E24" s="92">
        <f>AF24*'KF Non-OECD total'!H65/T24*'KF Non-OECD total'!H$140/'KF Non-OECD total'!H$140*-1</f>
        <v>-746.77413722857375</v>
      </c>
      <c r="F24" s="92">
        <f>AF24*'KF Non-OECD total'!H$66/T24*'KF Non-OECD total'!H$140/'KF Non-OECD total'!H$140*-1</f>
        <v>-106.60425867025225</v>
      </c>
      <c r="G24" s="92"/>
      <c r="H24" s="92"/>
      <c r="I24" s="92">
        <f>AF24*'KF Non-OECD total'!H$67/T24*'KF Non-OECD total'!H$142/'KF Non-OECD total'!H$142*-1</f>
        <v>-48.696289408288834</v>
      </c>
      <c r="J24" s="92">
        <f>AF24*'KF Non-OECD total'!H$68/T24*'KF Non-OECD total'!H$140/'KF Non-OECD total'!H$140*-1</f>
        <v>-63.811818622727579</v>
      </c>
      <c r="K24" s="92">
        <f>AF24*'KF Non-OECD total'!H$69/T24*'KF Non-OECD total'!H$141/'KF Non-OECD total'!H$141*-1</f>
        <v>-2842.850016660163</v>
      </c>
      <c r="L24" s="92">
        <f>AF24*'KF Non-OECD total'!H$70/T24*'KF Non-OECD total'!H$142/'KF Non-OECD total'!H$142*-1</f>
        <v>-247.08237643878968</v>
      </c>
      <c r="M24" s="92"/>
      <c r="N24" s="23">
        <f t="shared" si="8"/>
        <v>-5113.1941304144511</v>
      </c>
      <c r="O24" s="84" t="s">
        <v>94</v>
      </c>
      <c r="P24" s="85" t="s">
        <v>95</v>
      </c>
      <c r="Q24" s="86" t="s">
        <v>85</v>
      </c>
      <c r="R24" s="86"/>
      <c r="S24" s="24">
        <f t="shared" si="1"/>
        <v>4576.1385400000008</v>
      </c>
      <c r="T24" s="37">
        <f>('KF Non-OECD total'!H64+'KF Non-OECD total'!H65+'KF Non-OECD total'!H66+'KF Non-OECD total'!H68)*'KF Non-OECD total'!H139+('KF Non-OECD total'!H67+'KF Non-OECD total'!H70)*'KF Non-OECD total'!H142+'KF Non-OECD total'!H69*'KF Non-OECD total'!H141</f>
        <v>0.89496671225136537</v>
      </c>
      <c r="U24" s="61"/>
      <c r="V24" s="92"/>
      <c r="W24" s="92"/>
      <c r="X24" s="92"/>
      <c r="Y24" s="92"/>
      <c r="Z24" s="92"/>
      <c r="AA24" s="92"/>
      <c r="AB24" s="92"/>
      <c r="AC24" s="92"/>
      <c r="AD24" s="92"/>
      <c r="AE24" s="92"/>
      <c r="AF24" s="92">
        <f>(('KF Non-OECD total'!G64+'KF Non-OECD total'!G65+'KF Non-OECD total'!G66+'KF Non-OECD total'!G68)*'KF Non-OECD total'!G139+('KF Non-OECD total'!G67+'KF Non-OECD total'!G70)*'KF Non-OECD total'!G142+'KF Non-OECD total'!G69*'KF Non-OECD total'!G141)*'KF Non-OECD total'!H5*'KF Non-OECD total'!H13*-1</f>
        <v>4576.1385400000008</v>
      </c>
      <c r="AG24" s="92">
        <f t="shared" si="9"/>
        <v>537.05559041445031</v>
      </c>
      <c r="AH24" s="87">
        <f>-(C24*Emissionsfaktorer!$B$2+D24*Emissionsfaktorer!$B$3+E24*Emissionsfaktorer!$B$4+F24*Emissionsfaktorer!$B$5+G24*Emissionsfaktorer!$B$6+H24*Emissionsfaktorer!$B$7+I24*Emissionsfaktorer!$B$8+J24*Emissionsfaktorer!$B$9+K24*Emissionsfaktorer!$B$10+L24*Emissionsfaktorer!$B$11+M24*Emissionsfaktorer!$B$12)</f>
        <v>163.28192434521327</v>
      </c>
    </row>
    <row r="25" spans="3:34" x14ac:dyDescent="0.35"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23">
        <f>N16</f>
        <v>-217316.85241600001</v>
      </c>
      <c r="O25" s="10" t="s">
        <v>11</v>
      </c>
      <c r="P25" s="71" t="s">
        <v>96</v>
      </c>
      <c r="Q25" s="71"/>
      <c r="R25" s="71"/>
      <c r="S25" s="24">
        <f t="shared" si="1"/>
        <v>156539.07286320001</v>
      </c>
      <c r="T25" s="37">
        <f>AF25/N25*-1</f>
        <v>0.7203264317649154</v>
      </c>
      <c r="U25" s="61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>
        <f>AF16</f>
        <v>156539.07286320001</v>
      </c>
      <c r="AG25" s="14">
        <f>-(S25+N25)</f>
        <v>60777.779552799999</v>
      </c>
      <c r="AH25" s="14"/>
    </row>
    <row r="28" spans="3:34" x14ac:dyDescent="0.35">
      <c r="X28" s="95"/>
    </row>
    <row r="29" spans="3:34" x14ac:dyDescent="0.35">
      <c r="X29" s="95"/>
    </row>
    <row r="30" spans="3:34" x14ac:dyDescent="0.35">
      <c r="X30" s="95"/>
    </row>
    <row r="31" spans="3:34" x14ac:dyDescent="0.35">
      <c r="E31" s="40"/>
    </row>
    <row r="36" spans="4:4" x14ac:dyDescent="0.35">
      <c r="D36" s="40"/>
    </row>
  </sheetData>
  <pageMargins left="0.7" right="0.7" top="0.75" bottom="0.75" header="0.3" footer="0.3"/>
  <pageSetup paperSize="9" orientation="portrait" horizontalDpi="4294967293" verticalDpi="4294967293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theme="9" tint="-0.249977111117893"/>
  </sheetPr>
  <dimension ref="A1:K142"/>
  <sheetViews>
    <sheetView zoomScale="154" zoomScaleNormal="154" workbookViewId="0">
      <pane ySplit="1" topLeftCell="A2" activePane="bottomLeft" state="frozen"/>
      <selection pane="bottomLeft" activeCell="C131" sqref="C131"/>
    </sheetView>
  </sheetViews>
  <sheetFormatPr defaultRowHeight="14.5" x14ac:dyDescent="0.35"/>
  <cols>
    <col min="1" max="1" width="70" customWidth="1"/>
    <col min="2" max="2" width="9.7265625" customWidth="1"/>
    <col min="10" max="10" width="15.54296875" customWidth="1"/>
    <col min="11" max="11" width="13.7265625" customWidth="1"/>
  </cols>
  <sheetData>
    <row r="1" spans="1:11" ht="19.5" customHeight="1" x14ac:dyDescent="0.35">
      <c r="A1" t="s">
        <v>239</v>
      </c>
      <c r="B1" s="76">
        <f>(('Non OECD total 1995'!$B12+'Non OECD total 1995'!$B13+'Non OECD total 1995'!$B14+'Non OECD total 1995'!$B20-'Non OECD total 1995'!$B22+'Non OECD total 1995'!$B30)*Emissionsfaktorer!$B2*-1+('Non OECD total 1995'!$D22-'Non OECD total 1995'!$D30-'Non OECD total 1995'!$D12-'Non OECD total 1995'!$D13-'Non OECD total 1995'!$D14-'Non OECD total 1995'!$D20)*Emissionsfaktorer!$B4+('Non OECD total 1995'!$E12+'Non OECD total 1995'!$E13+'Non OECD total 1995'!$E14+'Non OECD total 1995'!$E20-'Non OECD total 1995'!$E22+'Non OECD total 1995'!$E30)*Emissionsfaktorer!$B5*-1)*0.041872</f>
        <v>9020.632893775999</v>
      </c>
      <c r="C1" s="76">
        <f>(('Non OECD total 2000'!$B12+'Non OECD total 2000'!$B13+'Non OECD total 2000'!$B14+'Non OECD total 2000'!$B20-'Non OECD total 2000'!$B22+'Non OECD total 2000'!$B30)*Emissionsfaktorer!$B2*-1+('Non OECD total 2000'!$D22-'Non OECD total 2000'!$D30-'Non OECD total 2000'!$D12-'Non OECD total 2000'!$D13-'Non OECD total 2000'!$D14-'Non OECD total 2000'!$D20)*Emissionsfaktorer!$B4+('Non OECD total 2000'!$E12+'Non OECD total 2000'!$E13+'Non OECD total 2000'!$E14+'Non OECD total 2000'!$E20-'Non OECD total 2000'!$E22+'Non OECD total 2000'!$E30)*Emissionsfaktorer!$B5*-1)*0.041872</f>
        <v>9749.0446121920013</v>
      </c>
      <c r="D1" s="76">
        <f>(('Non OECD total 2005'!$B12+'Non OECD total 2005'!$B13+'Non OECD total 2005'!$B14+'Non OECD total 2005'!$B20-'Non OECD total 2005'!$B22+'Non OECD total 2005'!$B30)*Emissionsfaktorer!$B2*-1+('Non OECD total 2005'!$D22-'Non OECD total 2005'!$D30-'Non OECD total 2005'!$D12-'Non OECD total 2005'!$D13-'Non OECD total 2005'!$D14-'Non OECD total 2005'!$D20)*Emissionsfaktorer!$B4+('Non OECD total 2005'!$E12+'Non OECD total 2005'!$E13+'Non OECD total 2005'!$E14+'Non OECD total 2005'!$E20-'Non OECD total 2005'!$E22+'Non OECD total 2005'!$E30)*Emissionsfaktorer!$B5*-1)*0.041872</f>
        <v>13119.650629264001</v>
      </c>
      <c r="E1" s="76">
        <f>(('Non OECD total 2010'!$B12+'Non OECD total 2010'!$B13+'Non OECD total 2010'!$B14+'Non OECD total 2010'!$B20-'Non OECD total 2010'!$B22+'Non OECD total 2010'!$B30)*Emissionsfaktorer!$B2*-1+('Non OECD total 2010'!$D22-'Non OECD total 2010'!$D30-'Non OECD total 2010'!$D12-'Non OECD total 2010'!$D13-'Non OECD total 2010'!$D14-'Non OECD total 2010'!$D20)*Emissionsfaktorer!$B4+('Non OECD total 2010'!$E12+'Non OECD total 2010'!$E13+'Non OECD total 2010'!$E14+'Non OECD total 2010'!$E20-'Non OECD total 2010'!$E22+'Non OECD total 2010'!$E30)*Emissionsfaktorer!$B5*-1)*0.041872</f>
        <v>16749.16868296</v>
      </c>
      <c r="F1" s="76">
        <f>(('Non OECD total 2015'!$B12+'Non OECD total 2015'!$B13+'Non OECD total 2015'!$B14+'Non OECD total 2015'!$B20-'Non OECD total 2015'!$B22+'Non OECD total 2015'!$B30)*Emissionsfaktorer!$B2*-1+('Non OECD total 2015'!$D22-'Non OECD total 2015'!$D30-'Non OECD total 2015'!$D12-'Non OECD total 2015'!$D13-'Non OECD total 2015'!$D14-'Non OECD total 2015'!$D20)*Emissionsfaktorer!$B4+('Non OECD total 2015'!$E12+'Non OECD total 2015'!$E13+'Non OECD total 2015'!$E14+'Non OECD total 2015'!$E20-'Non OECD total 2015'!$E22+'Non OECD total 2015'!$E30)*Emissionsfaktorer!$B5*-1)*0.041872</f>
        <v>19014.30591472</v>
      </c>
      <c r="G1" s="76">
        <f>(('Non OECD total 2018'!$B12+'Non OECD total 2018'!$B13+'Non OECD total 2018'!$B14+'Non OECD total 2018'!$B20-'Non OECD total 2018'!$B22+'Non OECD total 2018'!$B30)*Emissionsfaktorer!$B2*-1+('Non OECD total 2018'!$D22-'Non OECD total 2018'!$D30-'Non OECD total 2018'!$D12-'Non OECD total 2018'!$D13-'Non OECD total 2018'!$D14-'Non OECD total 2018'!$D20)*Emissionsfaktorer!$B4+('Non OECD total 2018'!$E12+'Non OECD total 2018'!$E13+'Non OECD total 2018'!$E14+'Non OECD total 2018'!$E20-'Non OECD total 2018'!$E22+'Non OECD total 2018'!$E30)*Emissionsfaktorer!$B5*-1)*0.041872</f>
        <v>20040.282341040001</v>
      </c>
      <c r="H1" s="83">
        <f>'BL Non OECD total 2030'!AH8+'BL Non OECD total 2030'!AH16</f>
        <v>19904.057586202573</v>
      </c>
      <c r="I1" s="83">
        <f>'BL Non OECD total 2050'!AH8+'BL Non OECD total 2050'!AH16</f>
        <v>19904.057586202573</v>
      </c>
    </row>
    <row r="2" spans="1:11" ht="15" customHeight="1" x14ac:dyDescent="0.35">
      <c r="A2" t="s">
        <v>240</v>
      </c>
      <c r="B2" s="76">
        <f>B1+' KF OECD total'!B1</f>
        <v>20512.564124127999</v>
      </c>
      <c r="C2" s="76">
        <f>C1+' KF OECD total'!C1</f>
        <v>22293.937139856003</v>
      </c>
      <c r="D2" s="76">
        <f>D1+' KF OECD total'!D1</f>
        <v>25992.185108639998</v>
      </c>
      <c r="E2" s="76">
        <f>E1+' KF OECD total'!E1</f>
        <v>29123.983888015999</v>
      </c>
      <c r="F2" s="76">
        <f>F1+' KF OECD total'!F1</f>
        <v>30670.027889344001</v>
      </c>
      <c r="G2" s="76">
        <f>G1+' KF OECD total'!G1</f>
        <v>31652.555164912003</v>
      </c>
      <c r="H2" s="101">
        <f>H1+' KF OECD total'!H1</f>
        <v>30367.448065353801</v>
      </c>
      <c r="I2" s="101">
        <f>I1+' KF OECD total'!I1</f>
        <v>29766.927676302814</v>
      </c>
      <c r="J2" t="s">
        <v>129</v>
      </c>
    </row>
    <row r="3" spans="1:11" ht="15" customHeight="1" x14ac:dyDescent="0.35">
      <c r="B3" s="117" t="s">
        <v>130</v>
      </c>
      <c r="C3" s="117"/>
      <c r="D3" s="117"/>
      <c r="E3" s="117"/>
      <c r="F3" s="117"/>
      <c r="G3" s="117"/>
      <c r="H3" s="117"/>
      <c r="I3" s="117"/>
    </row>
    <row r="4" spans="1:11" ht="15.75" customHeight="1" x14ac:dyDescent="0.35">
      <c r="B4" s="41">
        <v>1995</v>
      </c>
      <c r="C4" s="114">
        <v>2000</v>
      </c>
      <c r="D4" s="114">
        <v>2005</v>
      </c>
      <c r="E4" s="114">
        <v>2010</v>
      </c>
      <c r="F4" s="114">
        <v>2015</v>
      </c>
      <c r="G4" s="114">
        <v>2018</v>
      </c>
      <c r="H4" s="35">
        <v>2030</v>
      </c>
      <c r="I4" s="35">
        <v>2050</v>
      </c>
    </row>
    <row r="5" spans="1:11" x14ac:dyDescent="0.35">
      <c r="A5" s="30" t="s">
        <v>131</v>
      </c>
      <c r="B5" s="7">
        <f>('Non OECD total 1995'!$L22-'Non OECD total 1995'!$L30)*0.041872*-1</f>
        <v>-116203.30001599999</v>
      </c>
      <c r="C5" s="7">
        <f>('Non OECD total 2000'!$L22-'Non OECD total 2000'!$L30)*0.041872*-1</f>
        <v>-120406.327632</v>
      </c>
      <c r="D5" s="7">
        <f>('Non OECD total 2005'!$L22-'Non OECD total 2005'!$L30)*0.041872*-1</f>
        <v>-149665.47630400001</v>
      </c>
      <c r="E5" s="7">
        <f>('Non OECD total 2010'!$L22-'Non OECD total 2010'!$L30)*0.041872*-1</f>
        <v>-182879.01665599999</v>
      </c>
      <c r="F5" s="7">
        <f>('Non OECD total 2015'!$L22-'Non OECD total 2015'!$L30)*0.041872*-1</f>
        <v>-205485.83507199999</v>
      </c>
      <c r="G5" s="7">
        <f>('Non OECD total 2018'!$L22-'Non OECD total 2018'!$L30)*0.041872*-1</f>
        <v>-217316.85241600001</v>
      </c>
      <c r="H5" s="79">
        <f>G5</f>
        <v>-217316.85241600001</v>
      </c>
      <c r="I5" s="79">
        <f>H5</f>
        <v>-217316.85241600001</v>
      </c>
      <c r="K5" s="34"/>
    </row>
    <row r="6" spans="1:11" x14ac:dyDescent="0.35">
      <c r="A6" s="31" t="s">
        <v>132</v>
      </c>
      <c r="B6" s="80"/>
      <c r="C6" s="80"/>
      <c r="D6" s="80"/>
      <c r="E6" s="80"/>
      <c r="F6" s="80"/>
      <c r="G6" s="80"/>
      <c r="H6" s="33"/>
      <c r="I6" s="33"/>
    </row>
    <row r="7" spans="1:11" x14ac:dyDescent="0.35">
      <c r="A7" s="30" t="s">
        <v>133</v>
      </c>
      <c r="B7" s="40">
        <f>('Non OECD total 1995'!$L23/B$5*0.041872*-1)</f>
        <v>0.34778753121843697</v>
      </c>
      <c r="C7" s="40">
        <f>('Non OECD total 2000'!$L23/C$5*0.041872*-1)</f>
        <v>0.33121410942692975</v>
      </c>
      <c r="D7" s="40">
        <f>('Non OECD total 2005'!$L23/D$5*0.041872*-1)</f>
        <v>0.38476067163968225</v>
      </c>
      <c r="E7" s="40">
        <f>('Non OECD total 2010'!$L23/E$5*0.041872*-1)</f>
        <v>0.41709777947615301</v>
      </c>
      <c r="F7" s="40">
        <f>('Non OECD total 2015'!$L23/F$5*0.041872*-1)</f>
        <v>0.4039331012520489</v>
      </c>
      <c r="G7" s="40">
        <f>('Non OECD total 2018'!$L23/G$5*0.041872*-1)</f>
        <v>0.38704299861195351</v>
      </c>
      <c r="H7" s="77">
        <f t="shared" ref="H7:I68" si="0">G7</f>
        <v>0.38704299861195351</v>
      </c>
      <c r="I7" s="77">
        <f>H7</f>
        <v>0.38704299861195351</v>
      </c>
    </row>
    <row r="8" spans="1:11" x14ac:dyDescent="0.35">
      <c r="A8" s="30" t="s">
        <v>134</v>
      </c>
      <c r="B8" s="40">
        <f>'Non OECD total 1995'!$L24/B$5*0.041872*-1</f>
        <v>0.16083580192151711</v>
      </c>
      <c r="C8" s="40">
        <f>'Non OECD total 2000'!$L24/C$5*0.041872*-1</f>
        <v>0.18758122271638322</v>
      </c>
      <c r="D8" s="40">
        <f>'Non OECD total 2005'!$L24/D$5*0.041872*-1</f>
        <v>0.19001291700856965</v>
      </c>
      <c r="E8" s="40">
        <f>'Non OECD total 2010'!$L24/E$5*0.041872*-1</f>
        <v>0.19995338372134824</v>
      </c>
      <c r="F8" s="40">
        <f>'Non OECD total 2015'!$L24/F$5*0.041872*-1</f>
        <v>0.22148941737055874</v>
      </c>
      <c r="G8" s="40">
        <f>'Non OECD total 2018'!$L24/G$5*0.041872*-1</f>
        <v>0.23013112838697594</v>
      </c>
      <c r="H8" s="77">
        <f t="shared" si="0"/>
        <v>0.23013112838697594</v>
      </c>
      <c r="I8" s="77">
        <f t="shared" si="0"/>
        <v>0.23013112838697594</v>
      </c>
    </row>
    <row r="9" spans="1:11" x14ac:dyDescent="0.35">
      <c r="A9" s="30" t="s">
        <v>135</v>
      </c>
      <c r="B9" s="40">
        <f>'Non OECD total 1995'!$L25/B$5*0.041872*-1</f>
        <v>0.38167802499492831</v>
      </c>
      <c r="C9" s="40">
        <f>'Non OECD total 2000'!$L25/C$5*0.041872*-1</f>
        <v>0.38362543082597916</v>
      </c>
      <c r="D9" s="40">
        <f>'Non OECD total 2005'!$L25/D$5*0.041872*-1</f>
        <v>0.32503944066023621</v>
      </c>
      <c r="E9" s="40">
        <f>'Non OECD total 2010'!$L25/E$5*0.041872*-1</f>
        <v>0.2833147837483197</v>
      </c>
      <c r="F9" s="40">
        <f>'Non OECD total 2015'!$L25/F$5*0.041872*-1</f>
        <v>0.26721903479507597</v>
      </c>
      <c r="G9" s="40">
        <f>'Non OECD total 2018'!$L25/G$5*0.041872*-1</f>
        <v>0.27088562913340736</v>
      </c>
      <c r="H9" s="89">
        <f>1-H7-H8-H10-H11-H12-H13</f>
        <v>0.27088562913340747</v>
      </c>
      <c r="I9" s="89">
        <f>1-I7-I8-I10-I11-I12-I13</f>
        <v>0.27088562913340747</v>
      </c>
    </row>
    <row r="10" spans="1:11" x14ac:dyDescent="0.35">
      <c r="A10" s="30" t="s">
        <v>136</v>
      </c>
      <c r="B10" s="40">
        <f>'Non OECD total 1995'!$L26/B$5*0.041872*-1</f>
        <v>4.2648051331740419E-2</v>
      </c>
      <c r="C10" s="40">
        <f>'Non OECD total 2000'!$L26/C$5*0.041872*-1</f>
        <v>4.5436730872821872E-2</v>
      </c>
      <c r="D10" s="40">
        <f>'Non OECD total 2005'!$L26/D$5*0.041872*-1</f>
        <v>4.9868829554518469E-2</v>
      </c>
      <c r="E10" s="40">
        <f>'Non OECD total 2010'!$L26/E$5*0.041872*-1</f>
        <v>5.3066542906094534E-2</v>
      </c>
      <c r="F10" s="40">
        <f>'Non OECD total 2015'!$L26/F$5*0.041872*-1</f>
        <v>5.7502879280509983E-2</v>
      </c>
      <c r="G10" s="40">
        <f>'Non OECD total 2018'!$L26/G$5*0.041872*-1</f>
        <v>6.0913929558761529E-2</v>
      </c>
      <c r="H10" s="88">
        <f t="shared" si="0"/>
        <v>6.0913929558761529E-2</v>
      </c>
      <c r="I10" s="88">
        <f t="shared" si="0"/>
        <v>6.0913929558761529E-2</v>
      </c>
    </row>
    <row r="11" spans="1:11" x14ac:dyDescent="0.35">
      <c r="A11" s="30" t="s">
        <v>137</v>
      </c>
      <c r="B11" s="40">
        <f>'Non OECD total 1995'!$L27/B$5*0.041872*-1</f>
        <v>4.0076347568087811E-2</v>
      </c>
      <c r="C11" s="40">
        <f>'Non OECD total 2000'!$L27/C$5*0.041872*-1</f>
        <v>3.0507921703474883E-2</v>
      </c>
      <c r="D11" s="40">
        <f>'Non OECD total 2005'!$L27/D$5*0.041872*-1</f>
        <v>2.9130554110851265E-2</v>
      </c>
      <c r="E11" s="40">
        <f>'Non OECD total 2010'!$L27/E$5*0.041872*-1</f>
        <v>2.5737177146209118E-2</v>
      </c>
      <c r="F11" s="40">
        <f>'Non OECD total 2015'!$L27/F$5*0.041872*-1</f>
        <v>2.6409095021554869E-2</v>
      </c>
      <c r="G11" s="40">
        <f>'Non OECD total 2018'!$L27/G$5*0.041872*-1</f>
        <v>2.7051491822394792E-2</v>
      </c>
      <c r="H11" s="88">
        <f t="shared" si="0"/>
        <v>2.7051491822394792E-2</v>
      </c>
      <c r="I11" s="88">
        <f t="shared" si="0"/>
        <v>2.7051491822394792E-2</v>
      </c>
    </row>
    <row r="12" spans="1:11" x14ac:dyDescent="0.35">
      <c r="A12" s="30" t="s">
        <v>138</v>
      </c>
      <c r="B12" s="40">
        <f>'Non OECD total 1995'!$L28/B$5*0.041872*-1</f>
        <v>7.2859534960145256E-4</v>
      </c>
      <c r="C12" s="40">
        <f>'Non OECD total 2000'!$L28/C$5*0.041872*-1</f>
        <v>5.7831791210193701E-4</v>
      </c>
      <c r="D12" s="40">
        <f>'Non OECD total 2005'!$L28/D$5*0.041872*-1</f>
        <v>6.7788416210244249E-4</v>
      </c>
      <c r="E12" s="40">
        <f>'Non OECD total 2010'!$L28/E$5*0.041872*-1</f>
        <v>6.4223311207391382E-4</v>
      </c>
      <c r="F12" s="40">
        <f>'Non OECD total 2015'!$L28/F$5*0.041872*-1</f>
        <v>4.6928400668694049E-4</v>
      </c>
      <c r="G12" s="40">
        <f>'Non OECD total 2018'!$L28/G$5*0.041872*-1</f>
        <v>4.4566233554038626E-4</v>
      </c>
      <c r="H12" s="88">
        <f t="shared" si="0"/>
        <v>4.4566233554038626E-4</v>
      </c>
      <c r="I12" s="88">
        <f t="shared" si="0"/>
        <v>4.4566233554038626E-4</v>
      </c>
    </row>
    <row r="13" spans="1:11" x14ac:dyDescent="0.35">
      <c r="A13" s="30" t="s">
        <v>139</v>
      </c>
      <c r="B13" s="40">
        <f>'Non OECD total 1995'!$L29/B$5*0.041872*-1</f>
        <v>2.6244926947686351E-2</v>
      </c>
      <c r="C13" s="40">
        <f>'Non OECD total 2000'!$L29/C$5*0.041872*-1</f>
        <v>2.1055918786499147E-2</v>
      </c>
      <c r="D13" s="40">
        <f>'Non OECD total 2005'!$L29/D$5*0.041872*-1</f>
        <v>2.0509702864039601E-2</v>
      </c>
      <c r="E13" s="40">
        <f>'Non OECD total 2010'!$L29/E$5*0.041872*-1</f>
        <v>2.0188328849912757E-2</v>
      </c>
      <c r="F13" s="40">
        <f>'Non OECD total 2015'!$L29/F$5*0.041872*-1</f>
        <v>2.297718827356466E-2</v>
      </c>
      <c r="G13" s="40">
        <f>'Non OECD total 2018'!$L29/G$5*0.041872*-1</f>
        <v>2.3529160150966431E-2</v>
      </c>
      <c r="H13" s="88">
        <f t="shared" si="0"/>
        <v>2.3529160150966431E-2</v>
      </c>
      <c r="I13" s="88">
        <f t="shared" si="0"/>
        <v>2.3529160150966431E-2</v>
      </c>
    </row>
    <row r="14" spans="1:11" x14ac:dyDescent="0.35">
      <c r="A14" s="31" t="s">
        <v>140</v>
      </c>
      <c r="B14" s="81"/>
      <c r="C14" s="81"/>
      <c r="D14" s="81"/>
      <c r="E14" s="81"/>
      <c r="F14" s="81"/>
      <c r="G14" s="81"/>
      <c r="H14" s="42"/>
      <c r="I14" s="42"/>
    </row>
    <row r="15" spans="1:11" x14ac:dyDescent="0.35">
      <c r="A15" s="30" t="s">
        <v>141</v>
      </c>
      <c r="B15" s="40">
        <f>'Non OECD total 1995'!$B23/'Non OECD total 1995'!$L23</f>
        <v>0.35741171863101323</v>
      </c>
      <c r="C15" s="40">
        <f>'Non OECD total 2000'!$B23/'Non OECD total 2000'!$L23</f>
        <v>0.30009879960060182</v>
      </c>
      <c r="D15" s="40">
        <f>'Non OECD total 2005'!$B23/'Non OECD total 2005'!$L23</f>
        <v>0.39803471604162666</v>
      </c>
      <c r="E15" s="40">
        <f>'Non OECD total 2010'!$B23/'Non OECD total 2010'!$L23</f>
        <v>0.42304160113739603</v>
      </c>
      <c r="F15" s="40">
        <f>'Non OECD total 2015'!$B23/'Non OECD total 2015'!$L23</f>
        <v>0.40422097249043026</v>
      </c>
      <c r="G15" s="40">
        <f>'Non OECD total 2018'!$B23/'Non OECD total 2018'!$L23</f>
        <v>0.35565701097789487</v>
      </c>
      <c r="H15" s="77">
        <f t="shared" si="0"/>
        <v>0.35565701097789487</v>
      </c>
      <c r="I15" s="77">
        <f t="shared" si="0"/>
        <v>0.35565701097789487</v>
      </c>
    </row>
    <row r="16" spans="1:11" x14ac:dyDescent="0.35">
      <c r="A16" s="30" t="s">
        <v>142</v>
      </c>
      <c r="B16" s="40">
        <f>'Non OECD total 1995'!$C23/'Non OECD total 1995'!$L23</f>
        <v>4.1194345930970462E-3</v>
      </c>
      <c r="C16" s="40">
        <f>'Non OECD total 2000'!$C23/'Non OECD total 2000'!$L23</f>
        <v>5.4995994468902271E-3</v>
      </c>
      <c r="D16" s="40">
        <f>'Non OECD total 2005'!$C23/'Non OECD total 2005'!$L23</f>
        <v>3.274261382475612E-3</v>
      </c>
      <c r="E16" s="40">
        <f>'Non OECD total 2010'!$C23/'Non OECD total 2010'!$L23</f>
        <v>5.1440820549979276E-3</v>
      </c>
      <c r="F16" s="40">
        <f>'Non OECD total 2015'!$C23/'Non OECD total 2015'!$L23</f>
        <v>1.7737043785678397E-3</v>
      </c>
      <c r="G16" s="40">
        <f>'Non OECD total 2018'!$C23/'Non OECD total 2018'!$L23</f>
        <v>1.2256292924405256E-3</v>
      </c>
      <c r="H16" s="77">
        <f t="shared" si="0"/>
        <v>1.2256292924405256E-3</v>
      </c>
      <c r="I16" s="77">
        <f t="shared" si="0"/>
        <v>1.2256292924405256E-3</v>
      </c>
    </row>
    <row r="17" spans="1:9" x14ac:dyDescent="0.35">
      <c r="A17" s="30" t="s">
        <v>143</v>
      </c>
      <c r="B17" s="40">
        <f>'Non OECD total 1995'!$D23/'Non OECD total 1995'!$L23</f>
        <v>0.14800021964792096</v>
      </c>
      <c r="C17" s="40">
        <f>'Non OECD total 2000'!$D23/'Non OECD total 2000'!$L23</f>
        <v>0.17521967424480253</v>
      </c>
      <c r="D17" s="40">
        <f>'Non OECD total 2005'!$D23/'Non OECD total 2005'!$L23</f>
        <v>0.13031967494430194</v>
      </c>
      <c r="E17" s="40">
        <f>'Non OECD total 2010'!$D23/'Non OECD total 2010'!$L23</f>
        <v>0.10812233594352544</v>
      </c>
      <c r="F17" s="40">
        <f>'Non OECD total 2015'!$D23/'Non OECD total 2015'!$L23</f>
        <v>0.1006027366301231</v>
      </c>
      <c r="G17" s="40">
        <f>'Non OECD total 2018'!$D23/'Non OECD total 2018'!$L23</f>
        <v>9.8255942460139661E-2</v>
      </c>
      <c r="H17" s="77">
        <f t="shared" si="0"/>
        <v>9.8255942460139661E-2</v>
      </c>
      <c r="I17" s="77">
        <f t="shared" si="0"/>
        <v>9.8255942460139661E-2</v>
      </c>
    </row>
    <row r="18" spans="1:9" x14ac:dyDescent="0.35">
      <c r="A18" s="30" t="s">
        <v>241</v>
      </c>
      <c r="B18" s="40">
        <f>'Non OECD total 1995'!$E23/'Non OECD total 1995'!$L23</f>
        <v>0.13514045552077797</v>
      </c>
      <c r="C18" s="40">
        <f>'Non OECD total 2000'!$E23/'Non OECD total 2000'!$L23</f>
        <v>0.14595357363720074</v>
      </c>
      <c r="D18" s="40">
        <f>'Non OECD total 2005'!$E23/'Non OECD total 2005'!$L23</f>
        <v>0.13373281794437755</v>
      </c>
      <c r="E18" s="40">
        <f>'Non OECD total 2010'!$E23/'Non OECD total 2010'!$L23</f>
        <v>0.13662091282617109</v>
      </c>
      <c r="F18" s="40">
        <f>'Non OECD total 2015'!$E23/'Non OECD total 2015'!$L23</f>
        <v>0.14082486334001246</v>
      </c>
      <c r="G18" s="40">
        <f>'Non OECD total 2018'!$E23/'Non OECD total 2018'!$L23</f>
        <v>0.15694476802650784</v>
      </c>
      <c r="H18" s="77">
        <f t="shared" si="0"/>
        <v>0.15694476802650784</v>
      </c>
      <c r="I18" s="77">
        <f t="shared" si="0"/>
        <v>0.15694476802650784</v>
      </c>
    </row>
    <row r="19" spans="1:9" x14ac:dyDescent="0.35">
      <c r="A19" s="30" t="s">
        <v>145</v>
      </c>
      <c r="B19" s="40">
        <f>'Non OECD total 1995'!$H23/'Non OECD total 1995'!$L23</f>
        <v>4.247907905356612E-5</v>
      </c>
      <c r="C19" s="40">
        <f>'Non OECD total 2000'!$H23/'Non OECD total 2000'!$L23</f>
        <v>7.349598344450476E-5</v>
      </c>
      <c r="D19" s="40">
        <f>'Non OECD total 2005'!$H23/'Non OECD total 2005'!$L23</f>
        <v>7.4894275459690883E-5</v>
      </c>
      <c r="E19" s="40">
        <f>'Non OECD total 2010'!$H23/'Non OECD total 2010'!$L23</f>
        <v>9.3319170776827201E-5</v>
      </c>
      <c r="F19" s="40">
        <f>'Non OECD total 2015'!$H23/'Non OECD total 2015'!$L23</f>
        <v>2.0229108526897147E-4</v>
      </c>
      <c r="G19" s="40">
        <f>'Non OECD total 2018'!$H23/'Non OECD total 2018'!$L23</f>
        <v>2.7280457037262714E-4</v>
      </c>
      <c r="H19" s="77">
        <f t="shared" si="0"/>
        <v>2.7280457037262714E-4</v>
      </c>
      <c r="I19" s="77">
        <f t="shared" si="0"/>
        <v>2.7280457037262714E-4</v>
      </c>
    </row>
    <row r="20" spans="1:9" x14ac:dyDescent="0.35">
      <c r="A20" s="30" t="s">
        <v>146</v>
      </c>
      <c r="B20" s="40">
        <f>'Non OECD total 1995'!$I23/'Non OECD total 1995'!$L23</f>
        <v>8.3876495703914603E-2</v>
      </c>
      <c r="C20" s="40">
        <f>'Non OECD total 2000'!$I23/'Non OECD total 2000'!$L23</f>
        <v>9.4142055136686775E-2</v>
      </c>
      <c r="D20" s="40">
        <f>'Non OECD total 2005'!$I23/'Non OECD total 2005'!$L23</f>
        <v>7.3693058536783998E-2</v>
      </c>
      <c r="E20" s="40">
        <f>'Non OECD total 2010'!$I23/'Non OECD total 2010'!$L23</f>
        <v>6.37402872583651E-2</v>
      </c>
      <c r="F20" s="40">
        <f>'Non OECD total 2015'!$I23/'Non OECD total 2015'!$L23</f>
        <v>6.3114818603919098E-2</v>
      </c>
      <c r="G20" s="40">
        <f>'Non OECD total 2018'!$I23/'Non OECD total 2018'!$L23</f>
        <v>6.0953402191596423E-2</v>
      </c>
      <c r="H20" s="77">
        <f t="shared" si="0"/>
        <v>6.0953402191596423E-2</v>
      </c>
      <c r="I20" s="77">
        <f t="shared" si="0"/>
        <v>6.0953402191596423E-2</v>
      </c>
    </row>
    <row r="21" spans="1:9" x14ac:dyDescent="0.35">
      <c r="A21" s="30" t="s">
        <v>147</v>
      </c>
      <c r="B21" s="40">
        <f>'Non OECD total 1995'!$J23/'Non OECD total 1995'!$L23</f>
        <v>0.16144640228102294</v>
      </c>
      <c r="C21" s="40">
        <f>'Non OECD total 2000'!$J23/'Non OECD total 2000'!$L23</f>
        <v>0.19230644045302925</v>
      </c>
      <c r="D21" s="40">
        <f>'Non OECD total 2005'!$J23/'Non OECD total 2005'!$L23</f>
        <v>0.19425757232023919</v>
      </c>
      <c r="E21" s="40">
        <f>'Non OECD total 2010'!$J23/'Non OECD total 2010'!$L23</f>
        <v>0.20875169140997032</v>
      </c>
      <c r="F21" s="40">
        <f>'Non OECD total 2015'!$J23/'Non OECD total 2015'!$L23</f>
        <v>0.23840332302203712</v>
      </c>
      <c r="G21" s="40">
        <f>'Non OECD total 2018'!$J23/'Non OECD total 2018'!$L23</f>
        <v>0.26870204762729716</v>
      </c>
      <c r="H21" s="89">
        <f>1-H15-H16-H17-H18-H19-H20-H22</f>
        <v>0.2687020476272971</v>
      </c>
      <c r="I21" s="89">
        <f>1-I15-I16-I17-I18-I19-I20-I22</f>
        <v>0.2687020476272971</v>
      </c>
    </row>
    <row r="22" spans="1:9" x14ac:dyDescent="0.35">
      <c r="A22" s="30" t="s">
        <v>148</v>
      </c>
      <c r="B22" s="40">
        <f>'Non OECD total 1995'!$K23/'Non OECD total 1995'!$L23</f>
        <v>0.10996279454319967</v>
      </c>
      <c r="C22" s="40">
        <f>'Non OECD total 2000'!$K23/'Non OECD total 2000'!$L23</f>
        <v>8.6705311554723538E-2</v>
      </c>
      <c r="D22" s="40">
        <f>'Non OECD total 2005'!$K23/'Non OECD total 2005'!$L23</f>
        <v>6.6612277425847397E-2</v>
      </c>
      <c r="E22" s="40">
        <f>'Non OECD total 2010'!$K23/'Non OECD total 2010'!$L23</f>
        <v>5.448577019879728E-2</v>
      </c>
      <c r="F22" s="40">
        <f>'Non OECD total 2015'!$K23/'Non OECD total 2015'!$L23</f>
        <v>5.0856785983094316E-2</v>
      </c>
      <c r="G22" s="40">
        <f>'Non OECD total 2018'!$K23/'Non OECD total 2018'!$L23</f>
        <v>5.798839485375086E-2</v>
      </c>
      <c r="H22" s="77">
        <f t="shared" si="0"/>
        <v>5.798839485375086E-2</v>
      </c>
      <c r="I22" s="77">
        <f t="shared" si="0"/>
        <v>5.798839485375086E-2</v>
      </c>
    </row>
    <row r="23" spans="1:9" x14ac:dyDescent="0.35">
      <c r="A23" s="31" t="s">
        <v>149</v>
      </c>
      <c r="B23" s="81"/>
      <c r="C23" s="81"/>
      <c r="D23" s="81"/>
      <c r="E23" s="81"/>
      <c r="F23" s="81"/>
      <c r="G23" s="81"/>
      <c r="H23" s="42"/>
      <c r="I23" s="42"/>
    </row>
    <row r="24" spans="1:9" x14ac:dyDescent="0.35">
      <c r="A24" s="30" t="s">
        <v>141</v>
      </c>
      <c r="B24" s="40">
        <f>'Non OECD total 1995'!$B24/'Non OECD total 1995'!$L24</f>
        <v>7.0124027673226508E-3</v>
      </c>
      <c r="C24" s="40">
        <f>'Non OECD total 2000'!$B24/'Non OECD total 2000'!$L24</f>
        <v>9.4919401933612037E-4</v>
      </c>
      <c r="D24" s="40">
        <f>'Non OECD total 2005'!$B24/'Non OECD total 2005'!$L24</f>
        <v>1.0306637179868488E-4</v>
      </c>
      <c r="E24" s="40">
        <f>'Non OECD total 2010'!$B24/'Non OECD total 2010'!$L24</f>
        <v>8.9315261115456007E-5</v>
      </c>
      <c r="F24" s="40">
        <f>'Non OECD total 2015'!$B24/'Non OECD total 2015'!$L24</f>
        <v>3.9560091779412928E-5</v>
      </c>
      <c r="G24" s="40">
        <f>'Non OECD total 2018'!$B24/'Non OECD total 2018'!$L24</f>
        <v>3.348998272754141E-5</v>
      </c>
      <c r="H24" s="77">
        <f t="shared" si="0"/>
        <v>3.348998272754141E-5</v>
      </c>
      <c r="I24" s="77">
        <f t="shared" si="0"/>
        <v>3.348998272754141E-5</v>
      </c>
    </row>
    <row r="25" spans="1:9" x14ac:dyDescent="0.35">
      <c r="A25" s="30" t="s">
        <v>143</v>
      </c>
      <c r="B25" s="40">
        <f>'Non OECD total 1995'!$D24/'Non OECD total 1995'!$L24</f>
        <v>0.87367593289601031</v>
      </c>
      <c r="C25" s="40">
        <f>'Non OECD total 2000'!$D24/'Non OECD total 2000'!$L24</f>
        <v>0.90190487666966379</v>
      </c>
      <c r="D25" s="40">
        <f>'Non OECD total 2005'!$D24/'Non OECD total 2005'!$L24</f>
        <v>0.89180386763922059</v>
      </c>
      <c r="E25" s="40">
        <f>'Non OECD total 2010'!$D24/'Non OECD total 2010'!$L24</f>
        <v>0.8840195531717796</v>
      </c>
      <c r="F25" s="40">
        <f>'Non OECD total 2015'!$D24/'Non OECD total 2015'!$L24</f>
        <v>0.89089326687237913</v>
      </c>
      <c r="G25" s="40">
        <f>'Non OECD total 2018'!$D24/'Non OECD total 2018'!$L24</f>
        <v>0.88147309038025368</v>
      </c>
      <c r="H25" s="89">
        <f>1-H24-H26-H27-H28-H29-H30</f>
        <v>0.88153169785002683</v>
      </c>
      <c r="I25" s="89">
        <f>1-I24-I26-I27-I28-I29-I30</f>
        <v>0.88153169785002683</v>
      </c>
    </row>
    <row r="26" spans="1:9" x14ac:dyDescent="0.35">
      <c r="A26" s="30" t="s">
        <v>241</v>
      </c>
      <c r="B26" s="40">
        <f>'Non OECD total 1995'!$E24/'Non OECD total 1995'!$L24</f>
        <v>8.2448381546402841E-2</v>
      </c>
      <c r="C26" s="40">
        <f>'Non OECD total 2000'!$E24/'Non OECD total 2000'!$L24</f>
        <v>6.8113940360211719E-2</v>
      </c>
      <c r="D26" s="40">
        <f>'Non OECD total 2005'!$E24/'Non OECD total 2005'!$L24</f>
        <v>7.6665184474081757E-2</v>
      </c>
      <c r="E26" s="40">
        <f>'Non OECD total 2010'!$E24/'Non OECD total 2010'!$L24</f>
        <v>7.5814915877619765E-2</v>
      </c>
      <c r="F26" s="40">
        <f>'Non OECD total 2015'!$E24/'Non OECD total 2015'!$L24</f>
        <v>6.6879555160567969E-2</v>
      </c>
      <c r="G26" s="40">
        <f>'Non OECD total 2018'!$E24/'Non OECD total 2018'!$L24</f>
        <v>7.2238729992875006E-2</v>
      </c>
      <c r="H26" s="90">
        <f t="shared" si="0"/>
        <v>7.2238729992875006E-2</v>
      </c>
      <c r="I26" s="90">
        <f t="shared" si="0"/>
        <v>7.2238729992875006E-2</v>
      </c>
    </row>
    <row r="27" spans="1:9" x14ac:dyDescent="0.35">
      <c r="A27" s="30" t="s">
        <v>145</v>
      </c>
      <c r="B27" s="40">
        <f>'Non OECD total 1995'!$H24/'Non OECD total 1995'!$L24</f>
        <v>0</v>
      </c>
      <c r="C27" s="40">
        <f>'Non OECD total 2000'!$H24/'Non OECD total 2000'!$L24</f>
        <v>0</v>
      </c>
      <c r="D27" s="40">
        <f>'Non OECD total 2005'!$H24/'Non OECD total 2005'!$L24</f>
        <v>0</v>
      </c>
      <c r="E27" s="40">
        <f>'Non OECD total 2010'!$H24/'Non OECD total 2010'!$L24</f>
        <v>0</v>
      </c>
      <c r="F27" s="40">
        <f>'Non OECD total 2015'!$H24/'Non OECD total 2015'!$L24</f>
        <v>0</v>
      </c>
      <c r="G27" s="40">
        <f>'Non OECD total 2018'!$H24/'Non OECD total 2018'!$L24</f>
        <v>0</v>
      </c>
      <c r="H27" s="77">
        <f t="shared" si="0"/>
        <v>0</v>
      </c>
      <c r="I27" s="77">
        <f t="shared" si="0"/>
        <v>0</v>
      </c>
    </row>
    <row r="28" spans="1:9" x14ac:dyDescent="0.35">
      <c r="A28" s="30" t="s">
        <v>146</v>
      </c>
      <c r="B28" s="40">
        <f>'Non OECD total 1995'!$I24/'Non OECD total 1995'!$L24</f>
        <v>1.5431766856651253E-2</v>
      </c>
      <c r="C28" s="40">
        <f>'Non OECD total 2000'!$I24/'Non OECD total 2000'!$L24</f>
        <v>1.0936124062624559E-2</v>
      </c>
      <c r="D28" s="40">
        <f>'Non OECD total 2005'!$I24/'Non OECD total 2005'!$L24</f>
        <v>1.152576512057293E-2</v>
      </c>
      <c r="E28" s="40">
        <f>'Non OECD total 2010'!$I24/'Non OECD total 2010'!$L24</f>
        <v>2.0757782737192133E-2</v>
      </c>
      <c r="F28" s="40">
        <f>'Non OECD total 2015'!$I24/'Non OECD total 2015'!$L24</f>
        <v>2.4209856166866307E-2</v>
      </c>
      <c r="G28" s="40">
        <f>'Non OECD total 2018'!$I24/'Non OECD total 2018'!$L24</f>
        <v>2.6525740819349171E-2</v>
      </c>
      <c r="H28" s="77">
        <f t="shared" si="0"/>
        <v>2.6525740819349171E-2</v>
      </c>
      <c r="I28" s="77">
        <f t="shared" si="0"/>
        <v>2.6525740819349171E-2</v>
      </c>
    </row>
    <row r="29" spans="1:9" x14ac:dyDescent="0.35">
      <c r="A29" s="30" t="s">
        <v>147</v>
      </c>
      <c r="B29" s="40">
        <f>'Non OECD total 1995'!$J24/'Non OECD total 1995'!$L24</f>
        <v>2.1406871706635123E-2</v>
      </c>
      <c r="C29" s="40">
        <f>'Non OECD total 2000'!$J24/'Non OECD total 2000'!$L24</f>
        <v>1.8077325942473653E-2</v>
      </c>
      <c r="D29" s="40">
        <f>'Non OECD total 2005'!$J24/'Non OECD total 2005'!$L24</f>
        <v>1.9874141236266407E-2</v>
      </c>
      <c r="E29" s="40">
        <f>'Non OECD total 2010'!$J24/'Non OECD total 2010'!$L24</f>
        <v>1.9312707615042064E-2</v>
      </c>
      <c r="F29" s="40">
        <f>'Non OECD total 2015'!$J24/'Non OECD total 2015'!$L24</f>
        <v>1.7964881678525495E-2</v>
      </c>
      <c r="G29" s="40">
        <f>'Non OECD total 2018'!$J24/'Non OECD total 2018'!$L24</f>
        <v>1.9670341355021447E-2</v>
      </c>
      <c r="H29" s="77">
        <f>G29</f>
        <v>1.9670341355021447E-2</v>
      </c>
      <c r="I29" s="77">
        <f t="shared" si="0"/>
        <v>1.9670341355021447E-2</v>
      </c>
    </row>
    <row r="30" spans="1:9" x14ac:dyDescent="0.35">
      <c r="A30" s="30" t="s">
        <v>148</v>
      </c>
      <c r="B30" s="40">
        <f>'Non OECD total 1995'!$K24/'Non OECD total 1995'!$L24</f>
        <v>0</v>
      </c>
      <c r="C30" s="40">
        <f>'Non OECD total 2000'!$K24/'Non OECD total 2000'!$L24</f>
        <v>0</v>
      </c>
      <c r="D30" s="40">
        <f>'Non OECD total 2005'!$K24/'Non OECD total 2005'!$L24</f>
        <v>0</v>
      </c>
      <c r="E30" s="40">
        <f>'Non OECD total 2010'!$K24/'Non OECD total 2010'!$L24</f>
        <v>0</v>
      </c>
      <c r="F30" s="40">
        <f>'Non OECD total 2015'!$K24/'Non OECD total 2015'!$L24</f>
        <v>0</v>
      </c>
      <c r="G30" s="40">
        <f>'Non OECD total 2018'!$K24/'Non OECD total 2018'!$L24</f>
        <v>0</v>
      </c>
      <c r="H30" s="77">
        <f t="shared" si="0"/>
        <v>0</v>
      </c>
      <c r="I30" s="77">
        <f t="shared" si="0"/>
        <v>0</v>
      </c>
    </row>
    <row r="31" spans="1:9" x14ac:dyDescent="0.35">
      <c r="A31" s="31" t="s">
        <v>150</v>
      </c>
      <c r="B31" s="81"/>
      <c r="C31" s="81"/>
      <c r="D31" s="81"/>
      <c r="E31" s="81"/>
      <c r="F31" s="81"/>
      <c r="G31" s="81"/>
      <c r="H31" s="42"/>
      <c r="I31" s="42"/>
    </row>
    <row r="32" spans="1:9" x14ac:dyDescent="0.35">
      <c r="A32" s="30" t="s">
        <v>141</v>
      </c>
      <c r="B32" s="40">
        <f>'Non OECD total 1995'!$B$25/'Non OECD total 1995'!$L$25</f>
        <v>8.4208966101918928E-2</v>
      </c>
      <c r="C32" s="40">
        <f>'Non OECD total 2000'!$B$25/'Non OECD total 2000'!$L$25</f>
        <v>5.7593464509684118E-2</v>
      </c>
      <c r="D32" s="40">
        <f>'Non OECD total 2005'!$B$25/'Non OECD total 2005'!$L$25</f>
        <v>5.6427616635120977E-2</v>
      </c>
      <c r="E32" s="40">
        <f>'Non OECD total 2010'!$B$25/'Non OECD total 2010'!$L$25</f>
        <v>4.9064246103517221E-2</v>
      </c>
      <c r="F32" s="40">
        <f>'Non OECD total 2015'!$B$25/'Non OECD total 2015'!$L$25</f>
        <v>4.8261704734968214E-2</v>
      </c>
      <c r="G32" s="40">
        <f>'Non OECD total 2018'!$B$25/'Non OECD total 2018'!$L$25</f>
        <v>4.5313904790085242E-2</v>
      </c>
      <c r="H32" s="77">
        <f t="shared" si="0"/>
        <v>4.5313904790085242E-2</v>
      </c>
      <c r="I32" s="77">
        <f t="shared" si="0"/>
        <v>4.5313904790085242E-2</v>
      </c>
    </row>
    <row r="33" spans="1:9" x14ac:dyDescent="0.35">
      <c r="A33" s="30" t="s">
        <v>143</v>
      </c>
      <c r="B33" s="40">
        <f>'Non OECD total 1995'!$D$25/'Non OECD total 1995'!$L$25</f>
        <v>8.0367510861622637E-2</v>
      </c>
      <c r="C33" s="40">
        <f>'Non OECD total 2000'!$D$25/'Non OECD total 2000'!$L$25</f>
        <v>8.8706299982051331E-2</v>
      </c>
      <c r="D33" s="40">
        <f>'Non OECD total 2005'!$D$25/'Non OECD total 2005'!$L$25</f>
        <v>9.484277509087137E-2</v>
      </c>
      <c r="E33" s="40">
        <f>'Non OECD total 2010'!$D$25/'Non OECD total 2010'!$L$25</f>
        <v>8.8337786225612128E-2</v>
      </c>
      <c r="F33" s="40">
        <f>'Non OECD total 2015'!$D$25/'Non OECD total 2015'!$L$25</f>
        <v>9.8291787754952648E-2</v>
      </c>
      <c r="G33" s="40">
        <f>'Non OECD total 2018'!$D$25/'Non OECD total 2018'!$L$25</f>
        <v>0.10503917763944053</v>
      </c>
      <c r="H33" s="77">
        <f t="shared" si="0"/>
        <v>0.10503917763944053</v>
      </c>
      <c r="I33" s="77">
        <f t="shared" si="0"/>
        <v>0.10503917763944053</v>
      </c>
    </row>
    <row r="34" spans="1:9" x14ac:dyDescent="0.35">
      <c r="A34" s="30" t="s">
        <v>241</v>
      </c>
      <c r="B34" s="40">
        <f>'Non OECD total 1995'!$E$25/'Non OECD total 1995'!$L$25</f>
        <v>8.8220355464420516E-2</v>
      </c>
      <c r="C34" s="40">
        <f>'Non OECD total 2000'!$E$25/'Non OECD total 2000'!$L$25</f>
        <v>0.10081167859920627</v>
      </c>
      <c r="D34" s="40">
        <f>'Non OECD total 2005'!$E$25/'Non OECD total 2005'!$L$25</f>
        <v>0.10989174621946675</v>
      </c>
      <c r="E34" s="40">
        <f>'Non OECD total 2010'!$E$25/'Non OECD total 2010'!$L$25</f>
        <v>0.12715068231886587</v>
      </c>
      <c r="F34" s="40">
        <f>'Non OECD total 2015'!$E$25/'Non OECD total 2015'!$L$25</f>
        <v>0.13127635123851297</v>
      </c>
      <c r="G34" s="40">
        <f>'Non OECD total 2018'!$E$25/'Non OECD total 2018'!$L$25</f>
        <v>0.15206301425986413</v>
      </c>
      <c r="H34" s="77">
        <f t="shared" si="0"/>
        <v>0.15206301425986413</v>
      </c>
      <c r="I34" s="77">
        <f t="shared" si="0"/>
        <v>0.15206301425986413</v>
      </c>
    </row>
    <row r="35" spans="1:9" x14ac:dyDescent="0.35">
      <c r="A35" s="30" t="s">
        <v>145</v>
      </c>
      <c r="B35" s="40">
        <f>'Non OECD total 1995'!$H$25/'Non OECD total 1995'!$L$25</f>
        <v>7.9774629590817514E-4</v>
      </c>
      <c r="C35" s="40">
        <f>'Non OECD total 2000'!$H$25/'Non OECD total 2000'!$L$25</f>
        <v>1.7105623371702387E-3</v>
      </c>
      <c r="D35" s="40">
        <f>'Non OECD total 2005'!$H$25/'Non OECD total 2005'!$L$25</f>
        <v>3.445494819707576E-3</v>
      </c>
      <c r="E35" s="40">
        <f>'Non OECD total 2010'!$H$25/'Non OECD total 2010'!$L$25</f>
        <v>8.0798578953578393E-3</v>
      </c>
      <c r="F35" s="40">
        <f>'Non OECD total 2015'!$H$25/'Non OECD total 2015'!$L$25</f>
        <v>1.8684262500848349E-2</v>
      </c>
      <c r="G35" s="40">
        <f>'Non OECD total 2018'!$H$25/'Non OECD total 2018'!$L$25</f>
        <v>1.9854129442693099E-2</v>
      </c>
      <c r="H35" s="77">
        <f t="shared" si="0"/>
        <v>1.9854129442693099E-2</v>
      </c>
      <c r="I35" s="77">
        <f t="shared" si="0"/>
        <v>1.9854129442693099E-2</v>
      </c>
    </row>
    <row r="36" spans="1:9" x14ac:dyDescent="0.35">
      <c r="A36" s="30" t="s">
        <v>146</v>
      </c>
      <c r="B36" s="40">
        <f>'Non OECD total 1995'!$I$25/'Non OECD total 1995'!$L$25</f>
        <v>0.58993574602023724</v>
      </c>
      <c r="C36" s="40">
        <f>'Non OECD total 2000'!$I$25/'Non OECD total 2000'!$L$25</f>
        <v>0.58771821680901715</v>
      </c>
      <c r="D36" s="40">
        <f>'Non OECD total 2005'!$I$25/'Non OECD total 2005'!$L$25</f>
        <v>0.56514808397608207</v>
      </c>
      <c r="E36" s="40">
        <f>'Non OECD total 2010'!$I$25/'Non OECD total 2010'!$L$25</f>
        <v>0.52668745221828384</v>
      </c>
      <c r="F36" s="40">
        <f>'Non OECD total 2015'!$I$25/'Non OECD total 2015'!$L$25</f>
        <v>0.4746116850227739</v>
      </c>
      <c r="G36" s="40">
        <f>'Non OECD total 2018'!$I$25/'Non OECD total 2018'!$L$25</f>
        <v>0.43392294210700022</v>
      </c>
      <c r="H36" s="77">
        <f t="shared" si="0"/>
        <v>0.43392294210700022</v>
      </c>
      <c r="I36" s="77">
        <f t="shared" si="0"/>
        <v>0.43392294210700022</v>
      </c>
    </row>
    <row r="37" spans="1:9" x14ac:dyDescent="0.35">
      <c r="A37" s="30" t="s">
        <v>147</v>
      </c>
      <c r="B37" s="40">
        <f>'Non OECD total 1995'!$J$25/'Non OECD total 1995'!$L$25</f>
        <v>6.730901764860267E-2</v>
      </c>
      <c r="C37" s="40">
        <f>'Non OECD total 2000'!$J$25/'Non OECD total 2000'!$L$25</f>
        <v>8.2809528385182019E-2</v>
      </c>
      <c r="D37" s="40">
        <f>'Non OECD total 2005'!$J$25/'Non OECD total 2005'!$L$25</f>
        <v>0.10265302240389325</v>
      </c>
      <c r="E37" s="40">
        <f>'Non OECD total 2010'!$J$25/'Non OECD total 2010'!$L$25</f>
        <v>0.13490000791984472</v>
      </c>
      <c r="F37" s="40">
        <f>'Non OECD total 2015'!$J$25/'Non OECD total 2015'!$L$25</f>
        <v>0.16760855623618334</v>
      </c>
      <c r="G37" s="40">
        <f>'Non OECD total 2018'!$J$25/'Non OECD total 2018'!$L$25</f>
        <v>0.18257434362516928</v>
      </c>
      <c r="H37" s="89">
        <f>1-H38-H36-H35-H34-H33-H32</f>
        <v>0.18257434362516922</v>
      </c>
      <c r="I37" s="89">
        <f>1-I38-I36-I35-I34-I33-I32</f>
        <v>0.18257434362516922</v>
      </c>
    </row>
    <row r="38" spans="1:9" x14ac:dyDescent="0.35">
      <c r="A38" s="30" t="s">
        <v>148</v>
      </c>
      <c r="B38" s="40">
        <f>'Non OECD total 1995'!$K$25/'Non OECD total 1995'!$L$25</f>
        <v>8.903509517254922E-2</v>
      </c>
      <c r="C38" s="40">
        <f>'Non OECD total 2000'!$K$25/'Non OECD total 2000'!$L$25</f>
        <v>7.9994851089520341E-2</v>
      </c>
      <c r="D38" s="40">
        <f>'Non OECD total 2005'!$K$25/'Non OECD total 2005'!$L$25</f>
        <v>6.7590400126699188E-2</v>
      </c>
      <c r="E38" s="40">
        <f>'Non OECD total 2010'!$K$25/'Non OECD total 2010'!$L$25</f>
        <v>6.5779967318518373E-2</v>
      </c>
      <c r="F38" s="40">
        <f>'Non OECD total 2015'!$K$25/'Non OECD total 2015'!$L$25</f>
        <v>6.1264127390341865E-2</v>
      </c>
      <c r="G38" s="40">
        <f>'Non OECD total 2018'!$K$25/'Non OECD total 2018'!$L$25</f>
        <v>6.1232488135747533E-2</v>
      </c>
      <c r="H38" s="88">
        <f t="shared" si="0"/>
        <v>6.1232488135747533E-2</v>
      </c>
      <c r="I38" s="88">
        <f t="shared" si="0"/>
        <v>6.1232488135747533E-2</v>
      </c>
    </row>
    <row r="39" spans="1:9" x14ac:dyDescent="0.35">
      <c r="A39" s="31" t="s">
        <v>151</v>
      </c>
      <c r="B39" s="81"/>
      <c r="C39" s="81"/>
      <c r="D39" s="81"/>
      <c r="E39" s="81"/>
      <c r="F39" s="81"/>
      <c r="G39" s="81"/>
      <c r="H39" s="42"/>
      <c r="I39" s="42"/>
    </row>
    <row r="40" spans="1:9" x14ac:dyDescent="0.35">
      <c r="A40" s="30" t="s">
        <v>141</v>
      </c>
      <c r="B40" s="40">
        <f>'Non OECD total 1995'!$B$26/'Non OECD total 1995'!$L$26</f>
        <v>0.1282222428753686</v>
      </c>
      <c r="C40" s="40">
        <f>'Non OECD total 2000'!$B$26/'Non OECD total 2000'!$L$26</f>
        <v>9.5762186488286119E-2</v>
      </c>
      <c r="D40" s="40">
        <f>'Non OECD total 2005'!$B$26/'Non OECD total 2005'!$L$26</f>
        <v>0.12149857783213371</v>
      </c>
      <c r="E40" s="40">
        <f>'Non OECD total 2010'!$B$26/'Non OECD total 2010'!$L$26</f>
        <v>0.10796817562086879</v>
      </c>
      <c r="F40" s="40">
        <f>'Non OECD total 2015'!$B$26/'Non OECD total 2015'!$L$26</f>
        <v>0.10275200748421298</v>
      </c>
      <c r="G40" s="40">
        <f>'Non OECD total 2018'!$B$26/'Non OECD total 2018'!$L$26</f>
        <v>8.4698476964683925E-2</v>
      </c>
      <c r="H40" s="77">
        <f t="shared" si="0"/>
        <v>8.4698476964683925E-2</v>
      </c>
      <c r="I40" s="77">
        <f t="shared" si="0"/>
        <v>8.4698476964683925E-2</v>
      </c>
    </row>
    <row r="41" spans="1:9" x14ac:dyDescent="0.35">
      <c r="A41" s="30" t="s">
        <v>143</v>
      </c>
      <c r="B41" s="40">
        <f>'Non OECD total 1995'!$D$26/'Non OECD total 1995'!$L$26</f>
        <v>0.18048784609275328</v>
      </c>
      <c r="C41" s="40">
        <f>'Non OECD total 2000'!$D$26/'Non OECD total 2000'!$L$26</f>
        <v>0.17237499712988971</v>
      </c>
      <c r="D41" s="40">
        <f>'Non OECD total 2005'!$D$26/'Non OECD total 2005'!$L$26</f>
        <v>0.14130233549697332</v>
      </c>
      <c r="E41" s="40">
        <f>'Non OECD total 2010'!$D$26/'Non OECD total 2010'!$L$26</f>
        <v>0.13774312686605802</v>
      </c>
      <c r="F41" s="40">
        <f>'Non OECD total 2015'!$D$26/'Non OECD total 2015'!$L$26</f>
        <v>0.12335839883200919</v>
      </c>
      <c r="G41" s="40">
        <f>'Non OECD total 2018'!$D$26/'Non OECD total 2018'!$L$26</f>
        <v>0.11593414414271933</v>
      </c>
      <c r="H41" s="77">
        <f t="shared" si="0"/>
        <v>0.11593414414271933</v>
      </c>
      <c r="I41" s="77">
        <f t="shared" si="0"/>
        <v>0.11593414414271933</v>
      </c>
    </row>
    <row r="42" spans="1:9" x14ac:dyDescent="0.35">
      <c r="A42" s="30" t="s">
        <v>241</v>
      </c>
      <c r="B42" s="40">
        <f>'Non OECD total 1995'!$E$26/'Non OECD total 1995'!$L$26</f>
        <v>0.14337977474927549</v>
      </c>
      <c r="C42" s="40">
        <f>'Non OECD total 2000'!$E$26/'Non OECD total 2000'!$L$26</f>
        <v>0.12320809447637708</v>
      </c>
      <c r="D42" s="40">
        <f>'Non OECD total 2005'!$E$26/'Non OECD total 2005'!$L$26</f>
        <v>0.12444950602808431</v>
      </c>
      <c r="E42" s="40">
        <f>'Non OECD total 2010'!$E$26/'Non OECD total 2010'!$L$26</f>
        <v>0.13798474362735791</v>
      </c>
      <c r="F42" s="40">
        <f>'Non OECD total 2015'!$E$26/'Non OECD total 2015'!$L$26</f>
        <v>0.14197679610480732</v>
      </c>
      <c r="G42" s="40">
        <f>'Non OECD total 2018'!$E$26/'Non OECD total 2018'!$L$26</f>
        <v>0.15322715842414081</v>
      </c>
      <c r="H42" s="77">
        <f t="shared" si="0"/>
        <v>0.15322715842414081</v>
      </c>
      <c r="I42" s="77">
        <f t="shared" si="0"/>
        <v>0.15322715842414081</v>
      </c>
    </row>
    <row r="43" spans="1:9" x14ac:dyDescent="0.35">
      <c r="A43" s="30" t="s">
        <v>145</v>
      </c>
      <c r="B43" s="40">
        <f>'Non OECD total 1995'!$H$26/'Non OECD total 1995'!$L$26</f>
        <v>2.5769493988526239E-3</v>
      </c>
      <c r="C43" s="40">
        <f>'Non OECD total 2000'!$H$26/'Non OECD total 2000'!$L$26</f>
        <v>4.3855285212426433E-3</v>
      </c>
      <c r="D43" s="40">
        <f>'Non OECD total 2005'!$H$26/'Non OECD total 2005'!$L$26</f>
        <v>5.6606208169470793E-3</v>
      </c>
      <c r="E43" s="40">
        <f>'Non OECD total 2010'!$H$26/'Non OECD total 2010'!$L$26</f>
        <v>8.6075971213088725E-3</v>
      </c>
      <c r="F43" s="40">
        <f>'Non OECD total 2015'!$H$26/'Non OECD total 2015'!$L$26</f>
        <v>1.7041467926320192E-2</v>
      </c>
      <c r="G43" s="40">
        <f>'Non OECD total 2018'!$H$26/'Non OECD total 2018'!$L$26</f>
        <v>1.8700279934840025E-2</v>
      </c>
      <c r="H43" s="77">
        <f t="shared" si="0"/>
        <v>1.8700279934840025E-2</v>
      </c>
      <c r="I43" s="77">
        <f t="shared" si="0"/>
        <v>1.8700279934840025E-2</v>
      </c>
    </row>
    <row r="44" spans="1:9" x14ac:dyDescent="0.35">
      <c r="A44" s="30" t="s">
        <v>146</v>
      </c>
      <c r="B44" s="40">
        <f>'Non OECD total 1995'!$I$26/'Non OECD total 1995'!$L$26</f>
        <v>9.365732487305356E-2</v>
      </c>
      <c r="C44" s="40">
        <f>'Non OECD total 2000'!$I$26/'Non OECD total 2000'!$L$26</f>
        <v>9.6137214232685578E-2</v>
      </c>
      <c r="D44" s="40">
        <f>'Non OECD total 2005'!$I$26/'Non OECD total 2005'!$L$26</f>
        <v>8.3506779841682144E-2</v>
      </c>
      <c r="E44" s="40">
        <f>'Non OECD total 2010'!$I$26/'Non OECD total 2010'!$L$26</f>
        <v>7.1669571820582298E-2</v>
      </c>
      <c r="F44" s="40">
        <f>'Non OECD total 2015'!$I$26/'Non OECD total 2015'!$L$26</f>
        <v>7.2060355641863402E-2</v>
      </c>
      <c r="G44" s="40">
        <f>'Non OECD total 2018'!$I$26/'Non OECD total 2018'!$L$26</f>
        <v>6.9123345300415945E-2</v>
      </c>
      <c r="H44" s="77">
        <f t="shared" si="0"/>
        <v>6.9123345300415945E-2</v>
      </c>
      <c r="I44" s="77">
        <f t="shared" si="0"/>
        <v>6.9123345300415945E-2</v>
      </c>
    </row>
    <row r="45" spans="1:9" x14ac:dyDescent="0.35">
      <c r="A45" s="30" t="s">
        <v>147</v>
      </c>
      <c r="B45" s="40">
        <f>'Non OECD total 1995'!$J$26/'Non OECD total 1995'!$L$26</f>
        <v>0.31674510168388859</v>
      </c>
      <c r="C45" s="40">
        <f>'Non OECD total 2000'!$J$26/'Non OECD total 2000'!$L$26</f>
        <v>0.39172795946638911</v>
      </c>
      <c r="D45" s="40">
        <f>'Non OECD total 2005'!$J$26/'Non OECD total 2005'!$L$26</f>
        <v>0.40887185902866213</v>
      </c>
      <c r="E45" s="40">
        <f>'Non OECD total 2010'!$J$26/'Non OECD total 2010'!$L$26</f>
        <v>0.44478625545795003</v>
      </c>
      <c r="F45" s="40">
        <f>'Non OECD total 2015'!$J$26/'Non OECD total 2015'!$L$26</f>
        <v>0.45980779180280235</v>
      </c>
      <c r="G45" s="40">
        <f>'Non OECD total 2018'!$J$26/'Non OECD total 2018'!$L$26</f>
        <v>0.47172341805184331</v>
      </c>
      <c r="H45" s="89">
        <f>1-H46-H44-H43-H42-H41-H40</f>
        <v>0.47172658115738031</v>
      </c>
      <c r="I45" s="89">
        <f>1-I46-I44-I43-I42-I41-I40</f>
        <v>0.47172658115738031</v>
      </c>
    </row>
    <row r="46" spans="1:9" x14ac:dyDescent="0.35">
      <c r="A46" s="30" t="s">
        <v>148</v>
      </c>
      <c r="B46" s="40">
        <f>'Non OECD total 1995'!$K$26/'Non OECD total 1995'!$L$26</f>
        <v>0.13488851525469553</v>
      </c>
      <c r="C46" s="40">
        <f>'Non OECD total 2000'!$K$26/'Non OECD total 2000'!$L$26</f>
        <v>0.11640401968512977</v>
      </c>
      <c r="D46" s="40">
        <f>'Non OECD total 2005'!$K$26/'Non OECD total 2005'!$L$26</f>
        <v>0.1145307968067142</v>
      </c>
      <c r="E46" s="40">
        <f>'Non OECD total 2010'!$K$26/'Non OECD total 2010'!$L$26</f>
        <v>9.1158552370433008E-2</v>
      </c>
      <c r="F46" s="40">
        <f>'Non OECD total 2015'!$K$26/'Non OECD total 2015'!$L$26</f>
        <v>8.3003182207984583E-2</v>
      </c>
      <c r="G46" s="40">
        <f>'Non OECD total 2018'!$K$26/'Non OECD total 2018'!$L$26</f>
        <v>8.6590014075819635E-2</v>
      </c>
      <c r="H46" s="77">
        <f t="shared" si="0"/>
        <v>8.6590014075819635E-2</v>
      </c>
      <c r="I46" s="77">
        <f t="shared" si="0"/>
        <v>8.6590014075819635E-2</v>
      </c>
    </row>
    <row r="47" spans="1:9" x14ac:dyDescent="0.35">
      <c r="A47" s="31" t="s">
        <v>152</v>
      </c>
      <c r="B47" s="81"/>
      <c r="C47" s="81"/>
      <c r="D47" s="81"/>
      <c r="E47" s="81"/>
      <c r="F47" s="81"/>
      <c r="G47" s="81"/>
      <c r="H47" s="42"/>
      <c r="I47" s="42"/>
    </row>
    <row r="48" spans="1:9" x14ac:dyDescent="0.35">
      <c r="A48" s="30" t="s">
        <v>141</v>
      </c>
      <c r="B48" s="40">
        <f>'Non OECD total 1995'!$B$27/'Non OECD total 1995'!$L$27</f>
        <v>9.727566984355332E-2</v>
      </c>
      <c r="C48" s="40">
        <f>'Non OECD total 2000'!$B$27/'Non OECD total 2000'!$L$27</f>
        <v>7.5369323363122381E-2</v>
      </c>
      <c r="D48" s="40">
        <f>'Non OECD total 2005'!$B$27/'Non OECD total 2005'!$L$27</f>
        <v>0.10405962179345582</v>
      </c>
      <c r="E48" s="40">
        <f>'Non OECD total 2010'!$B$27/'Non OECD total 2010'!$L$27</f>
        <v>0.10516061881166099</v>
      </c>
      <c r="F48" s="40">
        <f>'Non OECD total 2015'!$B$27/'Non OECD total 2015'!$L$27</f>
        <v>0.11014490517121649</v>
      </c>
      <c r="G48" s="40">
        <f>'Non OECD total 2018'!$B$27/'Non OECD total 2018'!$L$27</f>
        <v>0.10346301229362241</v>
      </c>
      <c r="H48" s="77">
        <f t="shared" si="0"/>
        <v>0.10346301229362241</v>
      </c>
      <c r="I48" s="77">
        <f t="shared" si="0"/>
        <v>0.10346301229362241</v>
      </c>
    </row>
    <row r="49" spans="1:9" x14ac:dyDescent="0.35">
      <c r="A49" s="30" t="s">
        <v>143</v>
      </c>
      <c r="B49" s="40">
        <f>'Non OECD total 1995'!$D$27/'Non OECD total 1995'!$L$27</f>
        <v>0.54173709764430855</v>
      </c>
      <c r="C49" s="40">
        <f>'Non OECD total 2000'!$D$27/'Non OECD total 2000'!$L$27</f>
        <v>0.55741610432245126</v>
      </c>
      <c r="D49" s="40">
        <f>'Non OECD total 2005'!$D$27/'Non OECD total 2005'!$L$27</f>
        <v>0.55594825350787047</v>
      </c>
      <c r="E49" s="40">
        <f>'Non OECD total 2010'!$D$27/'Non OECD total 2010'!$L$27</f>
        <v>0.51575941428177463</v>
      </c>
      <c r="F49" s="40">
        <f>'Non OECD total 2015'!$D$27/'Non OECD total 2015'!$L$27</f>
        <v>0.48493850403543154</v>
      </c>
      <c r="G49" s="40">
        <f>'Non OECD total 2018'!$D$27/'Non OECD total 2018'!$L$27</f>
        <v>0.44941523383523979</v>
      </c>
      <c r="H49" s="77">
        <f t="shared" si="0"/>
        <v>0.44941523383523979</v>
      </c>
      <c r="I49" s="77">
        <f t="shared" si="0"/>
        <v>0.44941523383523979</v>
      </c>
    </row>
    <row r="50" spans="1:9" x14ac:dyDescent="0.35">
      <c r="A50" s="30" t="s">
        <v>241</v>
      </c>
      <c r="B50" s="40">
        <f>'Non OECD total 1995'!$E$27/'Non OECD total 1995'!$L$27</f>
        <v>1.3378888689084698E-2</v>
      </c>
      <c r="C50" s="40">
        <f>'Non OECD total 2000'!$E$27/'Non OECD total 2000'!$L$27</f>
        <v>1.0167791355097574E-2</v>
      </c>
      <c r="D50" s="40">
        <f>'Non OECD total 2005'!$E$27/'Non OECD total 2005'!$L$27</f>
        <v>1.1169482246957924E-2</v>
      </c>
      <c r="E50" s="40">
        <f>'Non OECD total 2010'!$E$27/'Non OECD total 2010'!$L$27</f>
        <v>1.5941784020852424E-2</v>
      </c>
      <c r="F50" s="40">
        <f>'Non OECD total 2015'!$E$27/'Non OECD total 2015'!$L$27</f>
        <v>2.5601456767642475E-2</v>
      </c>
      <c r="G50" s="40">
        <f>'Non OECD total 2018'!$E$27/'Non OECD total 2018'!$L$27</f>
        <v>2.9857975184831693E-2</v>
      </c>
      <c r="H50" s="77">
        <f t="shared" si="0"/>
        <v>2.9857975184831693E-2</v>
      </c>
      <c r="I50" s="77">
        <f t="shared" si="0"/>
        <v>2.9857975184831693E-2</v>
      </c>
    </row>
    <row r="51" spans="1:9" x14ac:dyDescent="0.35">
      <c r="A51" s="30" t="s">
        <v>145</v>
      </c>
      <c r="B51" s="40">
        <f>'Non OECD total 1995'!$H$27/'Non OECD total 1995'!$L$27</f>
        <v>1.1958280884732961E-3</v>
      </c>
      <c r="C51" s="40">
        <f>'Non OECD total 2000'!$H$27/'Non OECD total 2000'!$L$27</f>
        <v>2.4735546233813606E-3</v>
      </c>
      <c r="D51" s="40">
        <f>'Non OECD total 2005'!$H$27/'Non OECD total 2005'!$L$27</f>
        <v>2.9004158543261336E-3</v>
      </c>
      <c r="E51" s="40">
        <f>'Non OECD total 2010'!$H$27/'Non OECD total 2010'!$L$27</f>
        <v>4.1544716170413398E-3</v>
      </c>
      <c r="F51" s="40">
        <f>'Non OECD total 2015'!$H$27/'Non OECD total 2015'!$L$27</f>
        <v>8.518387061928057E-3</v>
      </c>
      <c r="G51" s="40">
        <f>'Non OECD total 2018'!$H$27/'Non OECD total 2018'!$L$27</f>
        <v>1.0569951138905112E-2</v>
      </c>
      <c r="H51" s="77">
        <f t="shared" si="0"/>
        <v>1.0569951138905112E-2</v>
      </c>
      <c r="I51" s="77">
        <f t="shared" si="0"/>
        <v>1.0569951138905112E-2</v>
      </c>
    </row>
    <row r="52" spans="1:9" x14ac:dyDescent="0.35">
      <c r="A52" s="30" t="s">
        <v>146</v>
      </c>
      <c r="B52" s="40">
        <f>'Non OECD total 1995'!$I$27/'Non OECD total 1995'!$L$27</f>
        <v>4.2780075525984534E-2</v>
      </c>
      <c r="C52" s="40">
        <f>'Non OECD total 2000'!$I$27/'Non OECD total 2000'!$L$27</f>
        <v>5.151149006018603E-2</v>
      </c>
      <c r="D52" s="40">
        <f>'Non OECD total 2005'!$I$27/'Non OECD total 2005'!$L$27</f>
        <v>5.4733344217896142E-2</v>
      </c>
      <c r="E52" s="40">
        <f>'Non OECD total 2010'!$I$27/'Non OECD total 2010'!$L$27</f>
        <v>5.5395920255495557E-2</v>
      </c>
      <c r="F52" s="40">
        <f>'Non OECD total 2015'!$I$27/'Non OECD total 2015'!$L$27</f>
        <v>5.7020724988811902E-2</v>
      </c>
      <c r="G52" s="40">
        <f>'Non OECD total 2018'!$I$27/'Non OECD total 2018'!$L$27</f>
        <v>5.4701633926409206E-2</v>
      </c>
      <c r="H52" s="77">
        <f t="shared" si="0"/>
        <v>5.4701633926409206E-2</v>
      </c>
      <c r="I52" s="77">
        <f t="shared" si="0"/>
        <v>5.4701633926409206E-2</v>
      </c>
    </row>
    <row r="53" spans="1:9" x14ac:dyDescent="0.35">
      <c r="A53" s="30" t="s">
        <v>147</v>
      </c>
      <c r="B53" s="40">
        <f>'Non OECD total 1995'!$J$27/'Non OECD total 1995'!$L$27</f>
        <v>0.22637115626685847</v>
      </c>
      <c r="C53" s="40">
        <f>'Non OECD total 2000'!$J$27/'Non OECD total 2000'!$L$27</f>
        <v>0.25005699434616085</v>
      </c>
      <c r="D53" s="40">
        <f>'Non OECD total 2005'!$J$27/'Non OECD total 2005'!$L$27</f>
        <v>0.23794934836683537</v>
      </c>
      <c r="E53" s="40">
        <f>'Non OECD total 2010'!$J$27/'Non OECD total 2010'!$L$27</f>
        <v>0.27021857680434841</v>
      </c>
      <c r="F53" s="40">
        <f>'Non OECD total 2015'!$J$27/'Non OECD total 2015'!$L$27</f>
        <v>0.29170074535886792</v>
      </c>
      <c r="G53" s="40">
        <f>'Non OECD total 2018'!$J$27/'Non OECD total 2018'!$L$27</f>
        <v>0.32177808800695168</v>
      </c>
      <c r="H53" s="89">
        <f>1-H54-H52-H51-H50-H49-H48</f>
        <v>0.32179233322411999</v>
      </c>
      <c r="I53" s="89">
        <f>1-I54-I52-I51-I50-I49-I48</f>
        <v>0.32179233322411999</v>
      </c>
    </row>
    <row r="54" spans="1:9" x14ac:dyDescent="0.35">
      <c r="A54" s="30" t="s">
        <v>148</v>
      </c>
      <c r="B54" s="40">
        <f>'Non OECD total 1995'!$K$27/'Non OECD total 1995'!$L$27</f>
        <v>7.7243301564466821E-2</v>
      </c>
      <c r="C54" s="40">
        <f>'Non OECD total 2000'!$K$27/'Non OECD total 2000'!$L$27</f>
        <v>5.299334306036841E-2</v>
      </c>
      <c r="D54" s="40">
        <f>'Non OECD total 2005'!$K$27/'Non OECD total 2005'!$L$27</f>
        <v>3.3181909856611895E-2</v>
      </c>
      <c r="E54" s="40">
        <f>'Non OECD total 2010'!$K$27/'Non OECD total 2010'!$L$27</f>
        <v>3.327135727566298E-2</v>
      </c>
      <c r="F54" s="40">
        <f>'Non OECD total 2015'!$K$27/'Non OECD total 2015'!$L$27</f>
        <v>2.1990401382694712E-2</v>
      </c>
      <c r="G54" s="40">
        <f>'Non OECD total 2018'!$K$27/'Non OECD total 2018'!$L$27</f>
        <v>3.0199860396871749E-2</v>
      </c>
      <c r="H54" s="77">
        <f t="shared" si="0"/>
        <v>3.0199860396871749E-2</v>
      </c>
      <c r="I54" s="77">
        <f t="shared" si="0"/>
        <v>3.0199860396871749E-2</v>
      </c>
    </row>
    <row r="55" spans="1:9" x14ac:dyDescent="0.35">
      <c r="A55" s="31" t="s">
        <v>153</v>
      </c>
      <c r="B55" s="81"/>
      <c r="C55" s="81"/>
      <c r="D55" s="81"/>
      <c r="E55" s="81"/>
      <c r="F55" s="81"/>
      <c r="G55" s="81"/>
      <c r="H55" s="42"/>
      <c r="I55" s="42"/>
    </row>
    <row r="56" spans="1:9" x14ac:dyDescent="0.35">
      <c r="A56" s="30" t="s">
        <v>141</v>
      </c>
      <c r="B56" s="40">
        <f>'Non OECD total 1995'!$B$28/IF('Non OECD total 1995'!$L$28=0,1,'Non OECD total 1995'!$L$28)</f>
        <v>0</v>
      </c>
      <c r="C56" s="40">
        <f>'Non OECD total 2000'!$B$28/IF('Non OECD total 2000'!$L$28=0,1,'Non OECD total 2000'!$L$28)</f>
        <v>0</v>
      </c>
      <c r="D56" s="40">
        <f>'Non OECD total 2005'!$B$28/IF('Non OECD total 2005'!$L$28=0,1,'Non OECD total 2005'!$L$28)</f>
        <v>0</v>
      </c>
      <c r="E56" s="40">
        <f>'Non OECD total 2010'!$B$28/IF('Non OECD total 2010'!$L$28=0,1,'Non OECD total 2010'!$L$28)</f>
        <v>2.1390374331550803E-3</v>
      </c>
      <c r="F56" s="40">
        <f>'Non OECD total 2015'!$B$28/IF('Non OECD total 2015'!$L$28=0,1,'Non OECD total 2015'!$L$28)</f>
        <v>4.3421623968736432E-4</v>
      </c>
      <c r="G56" s="40">
        <f>'Non OECD total 2018'!$B$28/IF('Non OECD total 2018'!$L$28=0,1,'Non OECD total 2018'!$L$28)</f>
        <v>4.3233895373973193E-4</v>
      </c>
      <c r="H56" s="77">
        <f t="shared" si="0"/>
        <v>4.3233895373973193E-4</v>
      </c>
      <c r="I56" s="77">
        <f t="shared" si="0"/>
        <v>4.3233895373973193E-4</v>
      </c>
    </row>
    <row r="57" spans="1:9" x14ac:dyDescent="0.35">
      <c r="A57" s="30" t="s">
        <v>143</v>
      </c>
      <c r="B57" s="40">
        <f>'Non OECD total 1995'!$D$28/IF('Non OECD total 1995'!$L$28=0,1,'Non OECD total 1995'!$L$28)</f>
        <v>0.93026706231454004</v>
      </c>
      <c r="C57" s="40">
        <f>'Non OECD total 2000'!$D$28/IF('Non OECD total 2000'!$L$28=0,1,'Non OECD total 2000'!$L$28)</f>
        <v>0.94467829224293443</v>
      </c>
      <c r="D57" s="40">
        <f>'Non OECD total 2005'!$D$28/IF('Non OECD total 2005'!$L$28=0,1,'Non OECD total 2005'!$L$28)</f>
        <v>0.94222038794882379</v>
      </c>
      <c r="E57" s="40">
        <f>'Non OECD total 2010'!$D$28/IF('Non OECD total 2010'!$L$28=0,1,'Non OECD total 2010'!$L$28)</f>
        <v>0.93048128342245995</v>
      </c>
      <c r="F57" s="40">
        <f>'Non OECD total 2015'!$D$28/IF('Non OECD total 2015'!$L$28=0,1,'Non OECD total 2015'!$L$28)</f>
        <v>0.9057750759878419</v>
      </c>
      <c r="G57" s="40">
        <f>'Non OECD total 2018'!$D$28/IF('Non OECD total 2018'!$L$28=0,1,'Non OECD total 2018'!$L$28)</f>
        <v>0.91309987029831385</v>
      </c>
      <c r="H57" s="77">
        <f t="shared" si="0"/>
        <v>0.91309987029831385</v>
      </c>
      <c r="I57" s="77">
        <f t="shared" si="0"/>
        <v>0.91309987029831385</v>
      </c>
    </row>
    <row r="58" spans="1:9" x14ac:dyDescent="0.35">
      <c r="A58" s="30" t="s">
        <v>241</v>
      </c>
      <c r="B58" s="40">
        <f>'Non OECD total 1995'!$E$28/IF('Non OECD total 1995'!$L$28=0,1,'Non OECD total 1995'!$L$28)</f>
        <v>0</v>
      </c>
      <c r="C58" s="40">
        <f>'Non OECD total 2000'!$E$28/IF('Non OECD total 2000'!$L$28=0,1,'Non OECD total 2000'!$L$28)</f>
        <v>0</v>
      </c>
      <c r="D58" s="40">
        <f>'Non OECD total 2005'!$E$28/IF('Non OECD total 2005'!$L$28=0,1,'Non OECD total 2005'!$L$28)</f>
        <v>4.1271151465125874E-3</v>
      </c>
      <c r="E58" s="40">
        <f>'Non OECD total 2010'!$E$28/IF('Non OECD total 2010'!$L$28=0,1,'Non OECD total 2010'!$L$28)</f>
        <v>3.9215686274509803E-3</v>
      </c>
      <c r="F58" s="40">
        <f>'Non OECD total 2015'!$E$28/IF('Non OECD total 2015'!$L$28=0,1,'Non OECD total 2015'!$L$28)</f>
        <v>1.82370820668693E-2</v>
      </c>
      <c r="G58" s="40">
        <f>'Non OECD total 2018'!$E$28/IF('Non OECD total 2018'!$L$28=0,1,'Non OECD total 2018'!$L$28)</f>
        <v>1.7293558149589277E-3</v>
      </c>
      <c r="H58" s="77">
        <f t="shared" si="0"/>
        <v>1.7293558149589277E-3</v>
      </c>
      <c r="I58" s="77">
        <f t="shared" si="0"/>
        <v>1.7293558149589277E-3</v>
      </c>
    </row>
    <row r="59" spans="1:9" x14ac:dyDescent="0.35">
      <c r="A59" s="30" t="s">
        <v>145</v>
      </c>
      <c r="B59" s="40">
        <f>'Non OECD total 1995'!$H$28/IF('Non OECD total 1995'!$L$28=0,1,'Non OECD total 1995'!$L$28)</f>
        <v>0</v>
      </c>
      <c r="C59" s="40">
        <f>'Non OECD total 2000'!$H$28/IF('Non OECD total 2000'!$L$28=0,1,'Non OECD total 2000'!$L$28)</f>
        <v>0</v>
      </c>
      <c r="D59" s="40">
        <f>'Non OECD total 2005'!$H$28/IF('Non OECD total 2005'!$L$28=0,1,'Non OECD total 2005'!$L$28)</f>
        <v>0</v>
      </c>
      <c r="E59" s="40">
        <f>'Non OECD total 2010'!$H$28/IF('Non OECD total 2010'!$L$28=0,1,'Non OECD total 2010'!$L$28)</f>
        <v>0</v>
      </c>
      <c r="F59" s="40">
        <f>'Non OECD total 2015'!$H$28/IF('Non OECD total 2015'!$L$28=0,1,'Non OECD total 2015'!$L$28)</f>
        <v>0</v>
      </c>
      <c r="G59" s="40">
        <f>'Non OECD total 2018'!$H$28/IF('Non OECD total 2018'!$L$28=0,1,'Non OECD total 2018'!$L$28)</f>
        <v>0</v>
      </c>
      <c r="H59" s="77">
        <f t="shared" si="0"/>
        <v>0</v>
      </c>
      <c r="I59" s="77">
        <f t="shared" si="0"/>
        <v>0</v>
      </c>
    </row>
    <row r="60" spans="1:9" x14ac:dyDescent="0.35">
      <c r="A60" s="30" t="s">
        <v>146</v>
      </c>
      <c r="B60" s="40">
        <f>'Non OECD total 1995'!$I$28/IF('Non OECD total 1995'!$L$28=0,1,'Non OECD total 1995'!$L$28)</f>
        <v>0</v>
      </c>
      <c r="C60" s="40">
        <f>'Non OECD total 2000'!$I$28/IF('Non OECD total 2000'!$L$28=0,1,'Non OECD total 2000'!$L$28)</f>
        <v>6.0132291040288638E-4</v>
      </c>
      <c r="D60" s="40">
        <f>'Non OECD total 2005'!$I$28/IF('Non OECD total 2005'!$L$28=0,1,'Non OECD total 2005'!$L$28)</f>
        <v>4.127115146512588E-4</v>
      </c>
      <c r="E60" s="40">
        <f>'Non OECD total 2010'!$I$28/IF('Non OECD total 2010'!$L$28=0,1,'Non OECD total 2010'!$L$28)</f>
        <v>1.7825311942959001E-3</v>
      </c>
      <c r="F60" s="40">
        <f>'Non OECD total 2015'!$I$28/IF('Non OECD total 2015'!$L$28=0,1,'Non OECD total 2015'!$L$28)</f>
        <v>3.4737299174989146E-3</v>
      </c>
      <c r="G60" s="40">
        <f>'Non OECD total 2018'!$I$28/IF('Non OECD total 2018'!$L$28=0,1,'Non OECD total 2018'!$L$28)</f>
        <v>2.5940337224383916E-3</v>
      </c>
      <c r="H60" s="77">
        <f t="shared" si="0"/>
        <v>2.5940337224383916E-3</v>
      </c>
      <c r="I60" s="77">
        <f t="shared" si="0"/>
        <v>2.5940337224383916E-3</v>
      </c>
    </row>
    <row r="61" spans="1:9" x14ac:dyDescent="0.35">
      <c r="A61" s="30" t="s">
        <v>147</v>
      </c>
      <c r="B61" s="40">
        <f>'Non OECD total 1995'!$J$28/IF('Non OECD total 1995'!$L$28=0,1,'Non OECD total 1995'!$L$28)</f>
        <v>6.9732937685459948E-2</v>
      </c>
      <c r="C61" s="40">
        <f>'Non OECD total 2000'!$J$28/IF('Non OECD total 2000'!$L$28=0,1,'Non OECD total 2000'!$L$28)</f>
        <v>5.4720384846662661E-2</v>
      </c>
      <c r="D61" s="40">
        <f>'Non OECD total 2005'!$J$28/IF('Non OECD total 2005'!$L$28=0,1,'Non OECD total 2005'!$L$28)</f>
        <v>4.8287247214197276E-2</v>
      </c>
      <c r="E61" s="40">
        <f>'Non OECD total 2010'!$J$28/IF('Non OECD total 2010'!$L$28=0,1,'Non OECD total 2010'!$L$28)</f>
        <v>4.8841354723707667E-2</v>
      </c>
      <c r="F61" s="40">
        <f>'Non OECD total 2015'!$J$28/IF('Non OECD total 2015'!$L$28=0,1,'Non OECD total 2015'!$L$28)</f>
        <v>6.8606165870603558E-2</v>
      </c>
      <c r="G61" s="40">
        <f>'Non OECD total 2018'!$J$28/IF('Non OECD total 2018'!$L$28=0,1,'Non OECD total 2018'!$L$28)</f>
        <v>7.6523994811932561E-2</v>
      </c>
      <c r="H61" s="89">
        <f>1-H62-H60-H59-H58-H57-H56</f>
        <v>7.6091655858192886E-2</v>
      </c>
      <c r="I61" s="89">
        <f>1-I62-I60-I59-I58-I57-I56</f>
        <v>7.6091655858192886E-2</v>
      </c>
    </row>
    <row r="62" spans="1:9" x14ac:dyDescent="0.35">
      <c r="A62" s="30" t="s">
        <v>148</v>
      </c>
      <c r="B62" s="40">
        <f>'Non OECD total 1995'!$K$28/IF('Non OECD total 1995'!$L$28=0,1,'Non OECD total 1995'!$L$28)</f>
        <v>0</v>
      </c>
      <c r="C62" s="40">
        <f>'Non OECD total 2000'!$K$28/IF('Non OECD total 2000'!$L$28=0,1,'Non OECD total 2000'!$L$28)</f>
        <v>0</v>
      </c>
      <c r="D62" s="40">
        <f>'Non OECD total 2005'!$K$28/IF('Non OECD total 2005'!$L$28=0,1,'Non OECD total 2005'!$L$28)</f>
        <v>4.9525381758151049E-3</v>
      </c>
      <c r="E62" s="40">
        <f>'Non OECD total 2010'!$K$28/IF('Non OECD total 2010'!$L$28=0,1,'Non OECD total 2010'!$L$28)</f>
        <v>1.2477718360071301E-2</v>
      </c>
      <c r="F62" s="40">
        <f>'Non OECD total 2015'!$K$28/IF('Non OECD total 2015'!$L$28=0,1,'Non OECD total 2015'!$L$28)</f>
        <v>3.4737299174989146E-3</v>
      </c>
      <c r="G62" s="40">
        <f>'Non OECD total 2018'!$K$28/IF('Non OECD total 2018'!$L$28=0,1,'Non OECD total 2018'!$L$28)</f>
        <v>6.0527453523562475E-3</v>
      </c>
      <c r="H62" s="77">
        <f t="shared" si="0"/>
        <v>6.0527453523562475E-3</v>
      </c>
      <c r="I62" s="77">
        <f t="shared" si="0"/>
        <v>6.0527453523562475E-3</v>
      </c>
    </row>
    <row r="63" spans="1:9" x14ac:dyDescent="0.35">
      <c r="A63" s="31" t="s">
        <v>154</v>
      </c>
      <c r="B63" s="81"/>
      <c r="C63" s="81"/>
      <c r="D63" s="81"/>
      <c r="E63" s="81"/>
      <c r="F63" s="81"/>
      <c r="G63" s="81"/>
      <c r="H63" s="42"/>
      <c r="I63" s="42"/>
    </row>
    <row r="64" spans="1:9" x14ac:dyDescent="0.35">
      <c r="A64" s="30" t="s">
        <v>141</v>
      </c>
      <c r="B64" s="40">
        <f>'Non OECD total 1995'!$B$29/'Non OECD total 1995'!$L$29</f>
        <v>0.33361707970069338</v>
      </c>
      <c r="C64" s="40">
        <f>'Non OECD total 2000'!$B$29/'Non OECD total 2000'!$L$29</f>
        <v>0.31140582678205719</v>
      </c>
      <c r="D64" s="40">
        <f>'Non OECD total 2005'!$B$29/'Non OECD total 2005'!$L$29</f>
        <v>0.3601604168655963</v>
      </c>
      <c r="E64" s="40">
        <f>'Non OECD total 2010'!$B$29/'Non OECD total 2010'!$L$29</f>
        <v>0.36787488375258015</v>
      </c>
      <c r="F64" s="40">
        <f>'Non OECD total 2015'!$B$29/'Non OECD total 2015'!$L$29</f>
        <v>0.26430471798510108</v>
      </c>
      <c r="G64" s="40">
        <f>'Non OECD total 2018'!$B$29/'Non OECD total 2018'!$L$29</f>
        <v>0.2067934849365772</v>
      </c>
      <c r="H64" s="77">
        <f t="shared" si="0"/>
        <v>0.2067934849365772</v>
      </c>
      <c r="I64" s="77">
        <f t="shared" si="0"/>
        <v>0.2067934849365772</v>
      </c>
    </row>
    <row r="65" spans="1:9" x14ac:dyDescent="0.35">
      <c r="A65" s="30" t="s">
        <v>143</v>
      </c>
      <c r="B65" s="40">
        <f>'Non OECD total 1995'!$D$29/'Non OECD total 1995'!$L$29</f>
        <v>0.17379007345369671</v>
      </c>
      <c r="C65" s="40">
        <f>'Non OECD total 2000'!$D$29/'Non OECD total 2000'!$L$29</f>
        <v>0.19553081852414614</v>
      </c>
      <c r="D65" s="40">
        <f>'Non OECD total 2005'!$D$29/'Non OECD total 2005'!$L$29</f>
        <v>0.20926489244158289</v>
      </c>
      <c r="E65" s="40">
        <f>'Non OECD total 2010'!$D$29/'Non OECD total 2010'!$L$29</f>
        <v>0.19377594302175244</v>
      </c>
      <c r="F65" s="40">
        <f>'Non OECD total 2015'!$D$29/'Non OECD total 2015'!$L$29</f>
        <v>0.17507094714437743</v>
      </c>
      <c r="G65" s="40">
        <f>'Non OECD total 2018'!$D$29/'Non OECD total 2018'!$L$29</f>
        <v>0.14604846172113628</v>
      </c>
      <c r="H65" s="77">
        <f t="shared" si="0"/>
        <v>0.14604846172113628</v>
      </c>
      <c r="I65" s="77">
        <f t="shared" si="0"/>
        <v>0.14604846172113628</v>
      </c>
    </row>
    <row r="66" spans="1:9" x14ac:dyDescent="0.35">
      <c r="A66" s="30" t="s">
        <v>241</v>
      </c>
      <c r="B66" s="40">
        <f>'Non OECD total 1995'!$E$29/'Non OECD total 1995'!$L$29</f>
        <v>0.1296492071119654</v>
      </c>
      <c r="C66" s="40">
        <f>'Non OECD total 2000'!$E$29/'Non OECD total 2000'!$L$29</f>
        <v>0.10442954350267557</v>
      </c>
      <c r="D66" s="40">
        <f>'Non OECD total 2005'!$E$29/'Non OECD total 2005'!$L$29</f>
        <v>4.9598275791512637E-2</v>
      </c>
      <c r="E66" s="40">
        <f>'Non OECD total 2010'!$E$29/'Non OECD total 2010'!$L$29</f>
        <v>1.7147912082926941E-2</v>
      </c>
      <c r="F66" s="40">
        <f>'Non OECD total 2015'!$E$29/'Non OECD total 2015'!$L$29</f>
        <v>2.1177722596665484E-2</v>
      </c>
      <c r="G66" s="40">
        <f>'Non OECD total 2018'!$E$29/'Non OECD total 2018'!$L$29</f>
        <v>2.084885806235004E-2</v>
      </c>
      <c r="H66" s="77">
        <f t="shared" si="0"/>
        <v>2.084885806235004E-2</v>
      </c>
      <c r="I66" s="77">
        <f t="shared" si="0"/>
        <v>2.084885806235004E-2</v>
      </c>
    </row>
    <row r="67" spans="1:9" x14ac:dyDescent="0.35">
      <c r="A67" s="30" t="s">
        <v>145</v>
      </c>
      <c r="B67" s="40">
        <f>'Non OECD total 1995'!$H$29/'Non OECD total 1995'!$L$29</f>
        <v>6.1783483215487056E-4</v>
      </c>
      <c r="C67" s="40">
        <f>'Non OECD total 2000'!$H$29/'Non OECD total 2000'!$L$29</f>
        <v>1.3047499504525335E-3</v>
      </c>
      <c r="D67" s="40">
        <f>'Non OECD total 2005'!$H$29/'Non OECD total 2005'!$L$29</f>
        <v>1.937006370295598E-3</v>
      </c>
      <c r="E67" s="40">
        <f>'Non OECD total 2010'!$H$29/'Non OECD total 2010'!$L$29</f>
        <v>5.39841676684737E-3</v>
      </c>
      <c r="F67" s="40">
        <f>'Non OECD total 2015'!$H$29/'Non OECD total 2015'!$L$29</f>
        <v>7.9815537424618652E-3</v>
      </c>
      <c r="G67" s="40">
        <f>'Non OECD total 2018'!$H$29/'Non OECD total 2018'!$L$29</f>
        <v>9.5236535453704241E-3</v>
      </c>
      <c r="H67" s="77">
        <f t="shared" si="0"/>
        <v>9.5236535453704241E-3</v>
      </c>
      <c r="I67" s="77">
        <f t="shared" si="0"/>
        <v>9.5236535453704241E-3</v>
      </c>
    </row>
    <row r="68" spans="1:9" x14ac:dyDescent="0.35">
      <c r="A68" s="30" t="s">
        <v>146</v>
      </c>
      <c r="B68" s="40">
        <f>'Non OECD total 1995'!$I$29/'Non OECD total 1995'!$L$29</f>
        <v>3.6314958467769616E-2</v>
      </c>
      <c r="C68" s="40">
        <f>'Non OECD total 2000'!$I$29/'Non OECD total 2000'!$L$29</f>
        <v>3.377485631234723E-2</v>
      </c>
      <c r="D68" s="40">
        <f>'Non OECD total 2005'!$I$29/'Non OECD total 2005'!$L$29</f>
        <v>2.5344773493022686E-2</v>
      </c>
      <c r="E68" s="40">
        <f>'Non OECD total 2010'!$I$29/'Non OECD total 2010'!$L$29</f>
        <v>1.8009844171751312E-2</v>
      </c>
      <c r="F68" s="40">
        <f>'Non OECD total 2015'!$I$29/'Non OECD total 2015'!$L$29</f>
        <v>1.4065271372827244E-2</v>
      </c>
      <c r="G68" s="40">
        <f>'Non OECD total 2018'!$I$29/'Non OECD total 2018'!$L$29</f>
        <v>1.2479834912420057E-2</v>
      </c>
      <c r="H68" s="77">
        <f t="shared" si="0"/>
        <v>1.2479834912420057E-2</v>
      </c>
      <c r="I68" s="77">
        <f t="shared" si="0"/>
        <v>1.2479834912420057E-2</v>
      </c>
    </row>
    <row r="69" spans="1:9" x14ac:dyDescent="0.35">
      <c r="A69" s="30" t="s">
        <v>147</v>
      </c>
      <c r="B69" s="40">
        <f>'Non OECD total 1995'!$J$29/'Non OECD total 1995'!$L$29</f>
        <v>0.1420745520697467</v>
      </c>
      <c r="C69" s="40">
        <f>'Non OECD total 2000'!$J$29/'Non OECD total 2000'!$L$29</f>
        <v>0.25310497456563386</v>
      </c>
      <c r="D69" s="40">
        <f>'Non OECD total 2005'!$J$29/'Non OECD total 2005'!$L$29</f>
        <v>0.27384086537805724</v>
      </c>
      <c r="E69" s="40">
        <f>'Non OECD total 2010'!$J$29/'Non OECD total 2010'!$L$29</f>
        <v>0.3400208678295189</v>
      </c>
      <c r="F69" s="40">
        <f>'Non OECD total 2015'!$J$29/'Non OECD total 2015'!$L$29</f>
        <v>0.45479780063852432</v>
      </c>
      <c r="G69" s="40">
        <f>'Non OECD total 2018'!$J$29/'Non OECD total 2018'!$L$29</f>
        <v>0.55596681870665021</v>
      </c>
      <c r="H69" s="89">
        <f>1-H70-H68-H67-H66-H65-H64</f>
        <v>0.55598319644275562</v>
      </c>
      <c r="I69" s="89">
        <f>1-I70-I68-I67-I66-I65-I64</f>
        <v>0.55598319644275562</v>
      </c>
    </row>
    <row r="70" spans="1:9" x14ac:dyDescent="0.35">
      <c r="A70" s="30" t="s">
        <v>148</v>
      </c>
      <c r="B70" s="40">
        <f>'Non OECD total 1995'!$K$29/'Non OECD total 1995'!$L$29</f>
        <v>0.17812864694171759</v>
      </c>
      <c r="C70" s="40">
        <f>'Non OECD total 2000'!$K$29/'Non OECD total 2000'!$L$29</f>
        <v>9.5857831802867152E-2</v>
      </c>
      <c r="D70" s="40">
        <f>'Non OECD total 2005'!$K$29/'Non OECD total 2005'!$L$29</f>
        <v>7.9853769659932614E-2</v>
      </c>
      <c r="E70" s="40">
        <f>'Non OECD total 2010'!$K$29/'Non OECD total 2010'!$L$29</f>
        <v>5.7556649352416812E-2</v>
      </c>
      <c r="F70" s="40">
        <f>'Non OECD total 2015'!$K$29/'Non OECD total 2015'!$L$29</f>
        <v>6.2078751330258961E-2</v>
      </c>
      <c r="G70" s="40">
        <f>'Non OECD total 2018'!$K$29/'Non OECD total 2018'!$L$29</f>
        <v>4.8322510379390254E-2</v>
      </c>
      <c r="H70" s="77">
        <f t="shared" ref="H70:I132" si="1">G70</f>
        <v>4.8322510379390254E-2</v>
      </c>
      <c r="I70" s="77">
        <f t="shared" si="1"/>
        <v>4.8322510379390254E-2</v>
      </c>
    </row>
    <row r="71" spans="1:9" x14ac:dyDescent="0.35">
      <c r="A71" s="38" t="s">
        <v>155</v>
      </c>
      <c r="B71" s="42"/>
      <c r="C71" s="42"/>
      <c r="D71" s="42"/>
      <c r="E71" s="42"/>
      <c r="F71" s="42"/>
      <c r="G71" s="42"/>
      <c r="H71" s="42"/>
      <c r="I71" s="42"/>
    </row>
    <row r="72" spans="1:9" x14ac:dyDescent="0.35">
      <c r="A72" s="30" t="s">
        <v>147</v>
      </c>
      <c r="B72" s="40">
        <f>'Non OECD total 1995'!$J21/IF('Non OECD total 1995'!$J22=0,1,'Non OECD total 1995'!$J22)*-1</f>
        <v>0.14942614061814144</v>
      </c>
      <c r="C72" s="40">
        <f>'Non OECD total 2000'!$J21/IF('Non OECD total 2000'!$J22=0,1,'Non OECD total 2000'!$J22)*-1</f>
        <v>0.16940677852439007</v>
      </c>
      <c r="D72" s="40">
        <f>'Non OECD total 2005'!$J21/IF('Non OECD total 2005'!$J22=0,1,'Non OECD total 2005'!$J22)*-1</f>
        <v>0.15530507872251664</v>
      </c>
      <c r="E72" s="40">
        <f>'Non OECD total 2010'!$J21/IF('Non OECD total 2010'!$J22=0,1,'Non OECD total 2010'!$J22)*-1</f>
        <v>0.12893712284771533</v>
      </c>
      <c r="F72" s="40">
        <f>'Non OECD total 2015'!$J21/IF('Non OECD total 2015'!$J22=0,1,'Non OECD total 2015'!$J22)*-1</f>
        <v>0.11692524849314274</v>
      </c>
      <c r="G72" s="40">
        <f>'Non OECD total 2018'!$J21/IF('Non OECD total 2018'!$J22=0,1,'Non OECD total 2018'!$J22)*-1</f>
        <v>0.10914290202020668</v>
      </c>
      <c r="H72" s="77">
        <f t="shared" si="1"/>
        <v>0.10914290202020668</v>
      </c>
      <c r="I72" s="77">
        <f t="shared" si="1"/>
        <v>0.10914290202020668</v>
      </c>
    </row>
    <row r="73" spans="1:9" x14ac:dyDescent="0.35">
      <c r="A73" s="30" t="s">
        <v>148</v>
      </c>
      <c r="B73" s="40">
        <f>'Non OECD total 1995'!$K21/IF('Non OECD total 1995'!$K22=0,1,'Non OECD total 1995'!$K22)*-1</f>
        <v>5.84814243632681E-2</v>
      </c>
      <c r="C73" s="40">
        <f>'Non OECD total 2000'!$K21/IF('Non OECD total 2000'!$K22=0,1,'Non OECD total 2000'!$K22)*-1</f>
        <v>7.6864353729725332E-2</v>
      </c>
      <c r="D73" s="40">
        <f>'Non OECD total 2005'!$K21/IF('Non OECD total 2005'!$K22=0,1,'Non OECD total 2005'!$K22)*-1</f>
        <v>9.8337444277115965E-2</v>
      </c>
      <c r="E73" s="40">
        <f>'Non OECD total 2010'!$K21/IF('Non OECD total 2010'!$K22=0,1,'Non OECD total 2010'!$K22)*-1</f>
        <v>7.1461805061007452E-2</v>
      </c>
      <c r="F73" s="40">
        <f>'Non OECD total 2015'!$K21/IF('Non OECD total 2015'!$K22=0,1,'Non OECD total 2015'!$K22)*-1</f>
        <v>5.7499941707277263E-2</v>
      </c>
      <c r="G73" s="40">
        <f>'Non OECD total 2018'!$K21/IF('Non OECD total 2018'!$K22=0,1,'Non OECD total 2018'!$K22)*-1</f>
        <v>6.1069878634913498E-2</v>
      </c>
      <c r="H73" s="77">
        <f t="shared" si="1"/>
        <v>6.1069878634913498E-2</v>
      </c>
      <c r="I73" s="77">
        <f t="shared" si="1"/>
        <v>6.1069878634913498E-2</v>
      </c>
    </row>
    <row r="74" spans="1:9" x14ac:dyDescent="0.35">
      <c r="A74" s="38" t="s">
        <v>242</v>
      </c>
      <c r="B74" s="42"/>
      <c r="C74" s="42"/>
      <c r="D74" s="42"/>
      <c r="E74" s="42"/>
      <c r="F74" s="42"/>
      <c r="G74" s="42"/>
      <c r="H74" s="42"/>
      <c r="I74" s="42"/>
    </row>
    <row r="75" spans="1:9" x14ac:dyDescent="0.35">
      <c r="A75" s="30" t="s">
        <v>243</v>
      </c>
      <c r="B75" s="40">
        <f>'Non OECD total 1995'!$L20/B5*0.041872</f>
        <v>8.8024551717477958E-2</v>
      </c>
      <c r="C75" s="40">
        <f>'Non OECD total 2000'!$L20/C5*0.041872</f>
        <v>0.1028595612504047</v>
      </c>
      <c r="D75" s="40">
        <f>'Non OECD total 2005'!$L20/D5*0.041872</f>
        <v>0.1039910115301857</v>
      </c>
      <c r="E75" s="40">
        <f>'Non OECD total 2010'!$L20/E5*0.041872</f>
        <v>0.10725453243712241</v>
      </c>
      <c r="F75" s="40">
        <f>'Non OECD total 2015'!$L20/F5*0.041872</f>
        <v>9.950838272056757E-2</v>
      </c>
      <c r="G75" s="40">
        <f>'Non OECD total 2018'!$L20/G5*0.041872</f>
        <v>9.6913928017344012E-2</v>
      </c>
      <c r="H75" s="77">
        <f t="shared" si="1"/>
        <v>9.6913928017344012E-2</v>
      </c>
      <c r="I75" s="77">
        <f t="shared" si="1"/>
        <v>9.6913928017344012E-2</v>
      </c>
    </row>
    <row r="76" spans="1:9" x14ac:dyDescent="0.35">
      <c r="A76" s="39" t="s">
        <v>158</v>
      </c>
      <c r="B76" s="43"/>
      <c r="C76" s="43"/>
      <c r="D76" s="43"/>
      <c r="E76" s="43"/>
      <c r="F76" s="43"/>
      <c r="G76" s="43"/>
      <c r="H76" s="43">
        <f t="shared" si="1"/>
        <v>0</v>
      </c>
      <c r="I76" s="43">
        <f t="shared" si="1"/>
        <v>0</v>
      </c>
    </row>
    <row r="77" spans="1:9" x14ac:dyDescent="0.35">
      <c r="A77" s="30" t="s">
        <v>147</v>
      </c>
      <c r="B77" s="40">
        <f>'Non OECD total 1995'!$J20/'Non OECD total 1995'!$L20</f>
        <v>0.18387463874311258</v>
      </c>
      <c r="C77" s="40">
        <f>'Non OECD total 2000'!$J20/'Non OECD total 2000'!$L20</f>
        <v>0.18025498595244455</v>
      </c>
      <c r="D77" s="40">
        <f>'Non OECD total 2005'!$J20/'Non OECD total 2005'!$L20</f>
        <v>0.18246386208269549</v>
      </c>
      <c r="E77" s="40">
        <f>'Non OECD total 2010'!$J20/'Non OECD total 2010'!$L20</f>
        <v>0.18576472647627668</v>
      </c>
      <c r="F77" s="40">
        <f>'Non OECD total 2015'!$J20/'Non OECD total 2015'!$L20</f>
        <v>0.22365793973399409</v>
      </c>
      <c r="G77" s="40">
        <f>'Non OECD total 2018'!$J20/'Non OECD total 2018'!$L20</f>
        <v>0.24057926065536614</v>
      </c>
      <c r="H77" s="89">
        <f>1-H78-H79-H80-H81-H82-H83</f>
        <v>0.24058323690917838</v>
      </c>
      <c r="I77" s="89">
        <f>1-I78-I79-I80-I81-I82-I83</f>
        <v>0.24058323690917838</v>
      </c>
    </row>
    <row r="78" spans="1:9" x14ac:dyDescent="0.35">
      <c r="A78" s="30" t="s">
        <v>148</v>
      </c>
      <c r="B78" s="40">
        <f>'Non OECD total 1995'!$K20/'Non OECD total 1995'!$L20</f>
        <v>9.3566557232096809E-2</v>
      </c>
      <c r="C78" s="40">
        <f>'Non OECD total 2000'!$K20/'Non OECD total 2000'!$L20</f>
        <v>6.9693455631024304E-2</v>
      </c>
      <c r="D78" s="40">
        <f>'Non OECD total 2005'!$K20/'Non OECD total 2005'!$L20</f>
        <v>7.7513915754867491E-2</v>
      </c>
      <c r="E78" s="40">
        <f>'Non OECD total 2010'!$K20/'Non OECD total 2010'!$L20</f>
        <v>6.7884604710935395E-2</v>
      </c>
      <c r="F78" s="40">
        <f>'Non OECD total 2015'!$K20/'Non OECD total 2015'!$L20</f>
        <v>6.0272149241811464E-2</v>
      </c>
      <c r="G78" s="40">
        <f>'Non OECD total 2018'!$K20/'Non OECD total 2018'!$L20</f>
        <v>6.1514634602155928E-2</v>
      </c>
      <c r="H78" s="77">
        <f t="shared" si="1"/>
        <v>6.1514634602155928E-2</v>
      </c>
      <c r="I78" s="77">
        <f t="shared" si="1"/>
        <v>6.1514634602155928E-2</v>
      </c>
    </row>
    <row r="79" spans="1:9" x14ac:dyDescent="0.35">
      <c r="A79" s="30" t="s">
        <v>141</v>
      </c>
      <c r="B79" s="40">
        <f>'Non OECD total 1995'!$B20/'Non OECD total 1995'!$L20</f>
        <v>0.14089223287458144</v>
      </c>
      <c r="C79" s="40">
        <f>'Non OECD total 2000'!$B20/'Non OECD total 2000'!$L20</f>
        <v>0.14020170328722939</v>
      </c>
      <c r="D79" s="40">
        <f>'Non OECD total 2005'!$B20/'Non OECD total 2005'!$L20</f>
        <v>0.14701870589532984</v>
      </c>
      <c r="E79" s="40">
        <f>'Non OECD total 2010'!$B20/'Non OECD total 2010'!$L20</f>
        <v>0.20842921855854085</v>
      </c>
      <c r="F79" s="40">
        <f>'Non OECD total 2015'!$B20/'Non OECD total 2015'!$L20</f>
        <v>0.15600561090235188</v>
      </c>
      <c r="G79" s="40">
        <f>'Non OECD total 2018'!$B20/'Non OECD total 2018'!$L20</f>
        <v>0.12635938177205727</v>
      </c>
      <c r="H79" s="77">
        <f t="shared" si="1"/>
        <v>0.12635938177205727</v>
      </c>
      <c r="I79" s="77">
        <f t="shared" si="1"/>
        <v>0.12635938177205727</v>
      </c>
    </row>
    <row r="80" spans="1:9" x14ac:dyDescent="0.35">
      <c r="A80" s="30" t="s">
        <v>244</v>
      </c>
      <c r="B80" s="40">
        <f>'Non OECD total 1995'!$E20/'Non OECD total 1995'!$L20</f>
        <v>0.28837510131567096</v>
      </c>
      <c r="C80" s="40">
        <f>'Non OECD total 2000'!$E20/'Non OECD total 2000'!$L20</f>
        <v>0.30271045131364083</v>
      </c>
      <c r="D80" s="40">
        <f>'Non OECD total 2005'!$E20/'Non OECD total 2005'!$L20</f>
        <v>0.3099695723175348</v>
      </c>
      <c r="E80" s="40">
        <f>'Non OECD total 2010'!$E20/'Non OECD total 2010'!$L20</f>
        <v>0.28808262282203562</v>
      </c>
      <c r="F80" s="40">
        <f>'Non OECD total 2015'!$E20/'Non OECD total 2015'!$L20</f>
        <v>0.29295463155415852</v>
      </c>
      <c r="G80" s="40">
        <f>'Non OECD total 2018'!$E20/'Non OECD total 2018'!$L20</f>
        <v>0.3261760764713133</v>
      </c>
      <c r="H80" s="77">
        <f t="shared" si="1"/>
        <v>0.3261760764713133</v>
      </c>
      <c r="I80" s="77">
        <f t="shared" si="1"/>
        <v>0.3261760764713133</v>
      </c>
    </row>
    <row r="81" spans="1:9" x14ac:dyDescent="0.35">
      <c r="A81" s="30" t="s">
        <v>160</v>
      </c>
      <c r="B81" s="40">
        <f>'Non OECD total 1995'!$C20/'Non OECD total 1995'!$L20</f>
        <v>2.1446173747165207E-2</v>
      </c>
      <c r="C81" s="40">
        <f>'Non OECD total 2000'!$C20/'Non OECD total 2000'!$L20</f>
        <v>2.9907262467839382E-2</v>
      </c>
      <c r="D81" s="40">
        <f>'Non OECD total 2005'!$C20/'Non OECD total 2005'!$L20</f>
        <v>2.7064764420865157E-2</v>
      </c>
      <c r="E81" s="40">
        <f>'Non OECD total 2010'!$C20/'Non OECD total 2010'!$L20</f>
        <v>1.9882931077913595E-2</v>
      </c>
      <c r="F81" s="40">
        <f>'Non OECD total 2015'!$C20/'Non OECD total 2015'!$L20</f>
        <v>2.4612202688728026E-2</v>
      </c>
      <c r="G81" s="40">
        <f>'Non OECD total 2018'!$C20/'Non OECD total 2018'!$L20</f>
        <v>1.9443881141821044E-2</v>
      </c>
      <c r="H81" s="77">
        <f t="shared" si="1"/>
        <v>1.9443881141821044E-2</v>
      </c>
      <c r="I81" s="77">
        <f t="shared" si="1"/>
        <v>1.9443881141821044E-2</v>
      </c>
    </row>
    <row r="82" spans="1:9" x14ac:dyDescent="0.35">
      <c r="A82" s="30" t="s">
        <v>143</v>
      </c>
      <c r="B82" s="40">
        <f>'Non OECD total 1995'!$D20/'Non OECD total 1995'!$L20</f>
        <v>0.2420810034140311</v>
      </c>
      <c r="C82" s="40">
        <f>'Non OECD total 2000'!$D20/'Non OECD total 2000'!$L20</f>
        <v>0.2580862191959592</v>
      </c>
      <c r="D82" s="40">
        <f>'Non OECD total 2005'!$D20/'Non OECD total 2005'!$L20</f>
        <v>0.23346453197596995</v>
      </c>
      <c r="E82" s="40">
        <f>'Non OECD total 2010'!$D20/'Non OECD total 2010'!$L20</f>
        <v>0.20221073259869951</v>
      </c>
      <c r="F82" s="40">
        <f>'Non OECD total 2015'!$D20/'Non OECD total 2015'!$L20</f>
        <v>0.21467640042184155</v>
      </c>
      <c r="G82" s="40">
        <f>'Non OECD total 2018'!$D20/'Non OECD total 2018'!$L20</f>
        <v>0.19691005316251348</v>
      </c>
      <c r="H82" s="77">
        <f t="shared" si="1"/>
        <v>0.19691005316251348</v>
      </c>
      <c r="I82" s="77">
        <f t="shared" si="1"/>
        <v>0.19691005316251348</v>
      </c>
    </row>
    <row r="83" spans="1:9" x14ac:dyDescent="0.35">
      <c r="A83" s="30" t="s">
        <v>161</v>
      </c>
      <c r="B83" s="40">
        <f>'Non OECD total 1995'!$I20/'Non OECD total 1995'!$L20</f>
        <v>2.9764292673341901E-2</v>
      </c>
      <c r="C83" s="40">
        <f>'Non OECD total 2000'!$I20/'Non OECD total 2000'!$L20</f>
        <v>1.9145922151862359E-2</v>
      </c>
      <c r="D83" s="40">
        <f>'Non OECD total 2005'!$I20/'Non OECD total 2005'!$L20</f>
        <v>2.2504647552737282E-2</v>
      </c>
      <c r="E83" s="40">
        <f>'Non OECD total 2010'!$I20/'Non OECD total 2010'!$L20</f>
        <v>2.7740894283603948E-2</v>
      </c>
      <c r="F83" s="40">
        <f>'Non OECD total 2015'!$I20/'Non OECD total 2015'!$L20</f>
        <v>2.7819017682533507E-2</v>
      </c>
      <c r="G83" s="40">
        <f>'Non OECD total 2018'!$I20/'Non OECD total 2018'!$L20</f>
        <v>2.9012735940960585E-2</v>
      </c>
      <c r="H83" s="77">
        <f t="shared" si="1"/>
        <v>2.9012735940960585E-2</v>
      </c>
      <c r="I83" s="77">
        <f t="shared" si="1"/>
        <v>2.9012735940960585E-2</v>
      </c>
    </row>
    <row r="84" spans="1:9" ht="18.75" customHeight="1" x14ac:dyDescent="0.35">
      <c r="A84" s="32" t="s">
        <v>162</v>
      </c>
      <c r="B84" s="82"/>
      <c r="C84" s="82"/>
      <c r="D84" s="82"/>
      <c r="E84" s="82"/>
      <c r="F84" s="82"/>
      <c r="G84" s="82"/>
      <c r="H84" s="42"/>
      <c r="I84" s="42"/>
    </row>
    <row r="85" spans="1:9" x14ac:dyDescent="0.35">
      <c r="A85" s="30" t="s">
        <v>163</v>
      </c>
      <c r="B85" s="40">
        <f>'Non OECD total 1995'!$K13/IF(('Non OECD total 1995'!$K13+'Non OECD total 1995'!$K14)=0,1,('Non OECD total 1995'!$K13+'Non OECD total 1995'!$K14))</f>
        <v>0.43229196974105322</v>
      </c>
      <c r="C85" s="40">
        <f>'Non OECD total 2000'!$K13/IF(('Non OECD total 2000'!$K13+'Non OECD total 2000'!$K14)=0,1,('Non OECD total 2000'!$K13+'Non OECD total 2000'!$K14))</f>
        <v>0.4158160080251086</v>
      </c>
      <c r="D85" s="40">
        <f>'Non OECD total 2005'!$K13/IF(('Non OECD total 2005'!$K13+'Non OECD total 2005'!$K14)=0,1,('Non OECD total 2005'!$K13+'Non OECD total 2005'!$K14))</f>
        <v>0.56441675794085433</v>
      </c>
      <c r="E85" s="40">
        <f>'Non OECD total 2010'!$K13/IF(('Non OECD total 2010'!$K13+'Non OECD total 2010'!$K14)=0,1,('Non OECD total 2010'!$K13+'Non OECD total 2010'!$K14))</f>
        <v>0.58705135487061788</v>
      </c>
      <c r="F85" s="40">
        <f>'Non OECD total 2015'!$K13/IF(('Non OECD total 2015'!$K13+'Non OECD total 2015'!$K14)=0,1,('Non OECD total 2015'!$K13+'Non OECD total 2015'!$K14))</f>
        <v>0.68587540510778711</v>
      </c>
      <c r="G85" s="40">
        <f>'Non OECD total 2018'!$K13/IF(('Non OECD total 2018'!$K13+'Non OECD total 2018'!$K14)=0,1,('Non OECD total 2018'!$K13+'Non OECD total 2018'!$K14))</f>
        <v>0.7061792058609101</v>
      </c>
      <c r="H85" s="89">
        <f>1-H86</f>
        <v>0.7061792058609101</v>
      </c>
      <c r="I85" s="89">
        <f>1-I86</f>
        <v>0.7061792058609101</v>
      </c>
    </row>
    <row r="86" spans="1:9" x14ac:dyDescent="0.35">
      <c r="A86" s="30" t="s">
        <v>164</v>
      </c>
      <c r="B86" s="40">
        <f>'Non OECD total 1995'!$K14/IF(('Non OECD total 1995'!$K13+'Non OECD total 1995'!$K14)=0,1,('Non OECD total 1995'!$K13+'Non OECD total 1995'!$K14))</f>
        <v>0.56770803025894678</v>
      </c>
      <c r="C86" s="40">
        <f>'Non OECD total 2000'!$K14/IF(('Non OECD total 2000'!$K13+'Non OECD total 2000'!$K14)=0,1,('Non OECD total 2000'!$K13+'Non OECD total 2000'!$K14))</f>
        <v>0.58418399197489135</v>
      </c>
      <c r="D86" s="40">
        <f>'Non OECD total 2005'!$K14/IF(('Non OECD total 2005'!$K13+'Non OECD total 2005'!$K14)=0,1,('Non OECD total 2005'!$K13+'Non OECD total 2005'!$K14))</f>
        <v>0.43558324205914567</v>
      </c>
      <c r="E86" s="40">
        <f>'Non OECD total 2010'!$K14/IF(('Non OECD total 2010'!$K13+'Non OECD total 2010'!$K14)=0,1,('Non OECD total 2010'!$K13+'Non OECD total 2010'!$K14))</f>
        <v>0.41294864512938212</v>
      </c>
      <c r="F86" s="40">
        <f>'Non OECD total 2015'!$K14/IF(('Non OECD total 2015'!$K13+'Non OECD total 2015'!$K14)=0,1,('Non OECD total 2015'!$K13+'Non OECD total 2015'!$K14))</f>
        <v>0.31412459489221289</v>
      </c>
      <c r="G86" s="40">
        <f>'Non OECD total 2018'!$K14/IF(('Non OECD total 2018'!$K13+'Non OECD total 2018'!$K14)=0,1,('Non OECD total 2018'!$K13+'Non OECD total 2018'!$K14))</f>
        <v>0.2938207941390899</v>
      </c>
      <c r="H86" s="77">
        <f t="shared" si="1"/>
        <v>0.2938207941390899</v>
      </c>
      <c r="I86" s="77">
        <f t="shared" si="1"/>
        <v>0.2938207941390899</v>
      </c>
    </row>
    <row r="87" spans="1:9" x14ac:dyDescent="0.35">
      <c r="A87" s="32" t="s">
        <v>165</v>
      </c>
      <c r="B87" s="82"/>
      <c r="C87" s="82"/>
      <c r="D87" s="82"/>
      <c r="E87" s="82"/>
      <c r="F87" s="82"/>
      <c r="G87" s="82"/>
      <c r="H87" s="42"/>
      <c r="I87" s="42"/>
    </row>
    <row r="88" spans="1:9" x14ac:dyDescent="0.35">
      <c r="A88" s="30" t="s">
        <v>166</v>
      </c>
      <c r="B88" s="40">
        <f>'Non OECD total 1995'!$J14/IF('Non OECD total 1995'!$K14=0,1,'Non OECD total 1995'!$K14)*-1</f>
        <v>0</v>
      </c>
      <c r="C88" s="40">
        <f>'Non OECD total 2000'!$J14/IF('Non OECD total 2000'!$K14=0,1,'Non OECD total 2000'!$K14)*-1</f>
        <v>0</v>
      </c>
      <c r="D88" s="40">
        <f>'Non OECD total 2005'!$J14/IF('Non OECD total 2005'!$K14=0,1,'Non OECD total 2005'!$K14)*-1</f>
        <v>0</v>
      </c>
      <c r="E88" s="40">
        <f>'Non OECD total 2010'!$J14/IF('Non OECD total 2010'!$K14=0,1,'Non OECD total 2010'!$K14)*-1</f>
        <v>0</v>
      </c>
      <c r="F88" s="40">
        <f>'Non OECD total 2015'!$J14/IF('Non OECD total 2015'!$K14=0,1,'Non OECD total 2015'!$K14)*-1</f>
        <v>0</v>
      </c>
      <c r="G88" s="40">
        <f>'Non OECD total 2018'!$J14/IF('Non OECD total 2018'!$K14=0,1,'Non OECD total 2018'!$K14)*-1</f>
        <v>4.0669103585175143E-3</v>
      </c>
      <c r="H88" s="77">
        <f t="shared" si="1"/>
        <v>4.0669103585175143E-3</v>
      </c>
      <c r="I88" s="77">
        <f t="shared" si="1"/>
        <v>4.0669103585175143E-3</v>
      </c>
    </row>
    <row r="89" spans="1:9" ht="18.75" customHeight="1" x14ac:dyDescent="0.35">
      <c r="A89" s="32" t="s">
        <v>167</v>
      </c>
      <c r="B89" s="82"/>
      <c r="C89" s="82"/>
      <c r="D89" s="82"/>
      <c r="E89" s="82"/>
      <c r="F89" s="82"/>
      <c r="G89" s="82"/>
      <c r="H89" s="42"/>
      <c r="I89" s="42"/>
    </row>
    <row r="90" spans="1:9" x14ac:dyDescent="0.35">
      <c r="A90" s="30" t="s">
        <v>168</v>
      </c>
      <c r="B90" s="34">
        <f>'Non OECD total 1995'!$J13/IF('Non OECD total 1995'!$K13=0,1,'Non OECD total 1995'!$K13)</f>
        <v>0.56951280045093933</v>
      </c>
      <c r="C90" s="34">
        <f>'Non OECD total 2000'!$J13/IF('Non OECD total 2000'!$K13=0,1,'Non OECD total 2000'!$K13)</f>
        <v>0.69654801101654551</v>
      </c>
      <c r="D90" s="34">
        <f>'Non OECD total 2005'!$J13/IF('Non OECD total 2005'!$K13=0,1,'Non OECD total 2005'!$K13)</f>
        <v>1.1133307173688154</v>
      </c>
      <c r="E90" s="34">
        <f>'Non OECD total 2010'!$J13/IF('Non OECD total 2010'!$K13=0,1,'Non OECD total 2010'!$K13)</f>
        <v>1.3349371104368373</v>
      </c>
      <c r="F90" s="34">
        <f>'Non OECD total 2015'!$J13/IF('Non OECD total 2015'!$K13=0,1,'Non OECD total 2015'!$K13)</f>
        <v>1.3395306848892419</v>
      </c>
      <c r="G90" s="34">
        <f>'Non OECD total 2018'!$J13/IF('Non OECD total 2018'!$K13=0,1,'Non OECD total 2018'!$K13)</f>
        <v>1.3088630034195008</v>
      </c>
      <c r="H90" s="78">
        <f t="shared" si="1"/>
        <v>1.3088630034195008</v>
      </c>
      <c r="I90" s="78">
        <f t="shared" si="1"/>
        <v>1.3088630034195008</v>
      </c>
    </row>
    <row r="91" spans="1:9" ht="18.75" customHeight="1" x14ac:dyDescent="0.35">
      <c r="A91" s="32" t="s">
        <v>169</v>
      </c>
      <c r="B91" s="82"/>
      <c r="C91" s="82"/>
      <c r="D91" s="82"/>
      <c r="E91" s="82"/>
      <c r="F91" s="82"/>
      <c r="G91" s="82"/>
      <c r="H91" s="33"/>
      <c r="I91" s="33"/>
    </row>
    <row r="92" spans="1:9" x14ac:dyDescent="0.35">
      <c r="A92" s="30" t="s">
        <v>170</v>
      </c>
      <c r="B92" s="40">
        <v>1</v>
      </c>
      <c r="C92" s="40">
        <v>1</v>
      </c>
      <c r="D92" s="40">
        <v>1</v>
      </c>
      <c r="E92" s="40">
        <v>1</v>
      </c>
      <c r="F92" s="40">
        <v>1</v>
      </c>
      <c r="G92" s="40">
        <v>1</v>
      </c>
      <c r="H92" s="77">
        <f t="shared" si="1"/>
        <v>1</v>
      </c>
      <c r="I92" s="77">
        <f t="shared" si="1"/>
        <v>1</v>
      </c>
    </row>
    <row r="93" spans="1:9" x14ac:dyDescent="0.35">
      <c r="A93" s="32" t="s">
        <v>171</v>
      </c>
      <c r="B93" s="82"/>
      <c r="C93" s="82"/>
      <c r="D93" s="82"/>
      <c r="E93" s="82"/>
      <c r="F93" s="82"/>
      <c r="G93" s="82"/>
      <c r="H93" s="42"/>
      <c r="I93" s="42"/>
    </row>
    <row r="94" spans="1:9" x14ac:dyDescent="0.35">
      <c r="A94" s="30" t="s">
        <v>172</v>
      </c>
      <c r="B94" s="40">
        <f>'Non OECD total 1995'!$G12/'Non OECD total 1995'!$J12*-1</f>
        <v>0.2958164618142532</v>
      </c>
      <c r="C94" s="40">
        <f>'Non OECD total 2000'!$G12/'Non OECD total 2000'!$J12*-1</f>
        <v>0.25984392302610632</v>
      </c>
      <c r="D94" s="40">
        <f>'Non OECD total 2005'!$G12/'Non OECD total 2005'!$J12*-1</f>
        <v>0.27494037435303481</v>
      </c>
      <c r="E94" s="40">
        <f>'Non OECD total 2010'!$G12/'Non OECD total 2010'!$J12*-1</f>
        <v>0.25389495697390174</v>
      </c>
      <c r="F94" s="40">
        <f>'Non OECD total 2015'!$G12/'Non OECD total 2015'!$J12*-1</f>
        <v>0.2350709557922262</v>
      </c>
      <c r="G94" s="40">
        <f>'Non OECD total 2018'!$G12/'Non OECD total 2018'!$J12*-1</f>
        <v>0.2240358430387947</v>
      </c>
      <c r="H94" s="77">
        <f t="shared" si="1"/>
        <v>0.2240358430387947</v>
      </c>
      <c r="I94" s="77">
        <f t="shared" si="1"/>
        <v>0.2240358430387947</v>
      </c>
    </row>
    <row r="95" spans="1:9" x14ac:dyDescent="0.35">
      <c r="A95" s="30" t="s">
        <v>145</v>
      </c>
      <c r="B95" s="40">
        <f>'Non OECD total 1995'!$H12/'Non OECD total 1995'!$J12*-1</f>
        <v>3.1091478797999658E-2</v>
      </c>
      <c r="C95" s="40">
        <f>'Non OECD total 2000'!$H12/'Non OECD total 2000'!$J12*-1</f>
        <v>4.8652861807242084E-2</v>
      </c>
      <c r="D95" s="40">
        <f>'Non OECD total 2005'!$H12/'Non OECD total 2005'!$J12*-1</f>
        <v>4.7383036723911205E-2</v>
      </c>
      <c r="E95" s="40">
        <f>'Non OECD total 2010'!$H12/'Non OECD total 2010'!$J12*-1</f>
        <v>5.0245156914555396E-2</v>
      </c>
      <c r="F95" s="40">
        <f>'Non OECD total 2015'!$H12/'Non OECD total 2015'!$J12*-1</f>
        <v>6.9396671478767741E-2</v>
      </c>
      <c r="G95" s="40">
        <f>'Non OECD total 2018'!$H12/'Non OECD total 2018'!$J12*-1</f>
        <v>0.10173064735216665</v>
      </c>
      <c r="H95" s="77">
        <f t="shared" si="1"/>
        <v>0.10173064735216665</v>
      </c>
      <c r="I95" s="77">
        <f t="shared" si="1"/>
        <v>0.10173064735216665</v>
      </c>
    </row>
    <row r="96" spans="1:9" x14ac:dyDescent="0.35">
      <c r="A96" s="30" t="s">
        <v>173</v>
      </c>
      <c r="B96" s="40">
        <f t="shared" ref="B96:G96" si="2">1-B94-B95</f>
        <v>0.67309205938774719</v>
      </c>
      <c r="C96" s="40">
        <f t="shared" si="2"/>
        <v>0.6915032151666517</v>
      </c>
      <c r="D96" s="40">
        <f t="shared" si="2"/>
        <v>0.67767658892305405</v>
      </c>
      <c r="E96" s="40">
        <f t="shared" si="2"/>
        <v>0.69585988611154281</v>
      </c>
      <c r="F96" s="40">
        <f t="shared" si="2"/>
        <v>0.69553237272900614</v>
      </c>
      <c r="G96" s="40">
        <f t="shared" si="2"/>
        <v>0.67423350960903861</v>
      </c>
      <c r="H96" s="89">
        <f>1-H95-H94</f>
        <v>0.67423350960903861</v>
      </c>
      <c r="I96" s="89">
        <f>1-I95-I94</f>
        <v>0.67423350960903861</v>
      </c>
    </row>
    <row r="97" spans="1:9" x14ac:dyDescent="0.35">
      <c r="A97" s="32" t="s">
        <v>174</v>
      </c>
      <c r="B97" s="82"/>
      <c r="C97" s="82"/>
      <c r="D97" s="82"/>
      <c r="E97" s="82"/>
      <c r="F97" s="82"/>
      <c r="G97" s="82"/>
      <c r="H97" s="42"/>
      <c r="I97" s="42"/>
    </row>
    <row r="98" spans="1:9" x14ac:dyDescent="0.35">
      <c r="A98" s="30" t="s">
        <v>145</v>
      </c>
      <c r="B98" s="40">
        <f>'Non OECD total 1995'!$H13/IF(('Non OECD total 1995'!$J13+'Non OECD total 1995'!$K13)=0,1,('Non OECD total 1995'!$J13+'Non OECD total 1995'!$K13))*-1</f>
        <v>0</v>
      </c>
      <c r="C98" s="40">
        <f>'Non OECD total 2000'!$H13/IF(('Non OECD total 2000'!$J13+'Non OECD total 2000'!$K13)=0,1,('Non OECD total 2000'!$J13+'Non OECD total 2000'!$K13))*-1</f>
        <v>0</v>
      </c>
      <c r="D98" s="40">
        <f>'Non OECD total 2005'!$H13/IF(('Non OECD total 2005'!$J13+'Non OECD total 2005'!$K13)=0,1,('Non OECD total 2005'!$J13+'Non OECD total 2005'!$K13))*-1</f>
        <v>0</v>
      </c>
      <c r="E98" s="40">
        <f>'Non OECD total 2010'!$H13/IF(('Non OECD total 2010'!$J13+'Non OECD total 2010'!$K13)=0,1,('Non OECD total 2010'!$J13+'Non OECD total 2010'!$K13))*-1</f>
        <v>0</v>
      </c>
      <c r="F98" s="40">
        <f>'Non OECD total 2015'!$H13/IF(('Non OECD total 2015'!$J13+'Non OECD total 2015'!$K13)=0,1,('Non OECD total 2015'!$J13+'Non OECD total 2015'!$K13))*-1</f>
        <v>0</v>
      </c>
      <c r="G98" s="40">
        <f>'Non OECD total 2018'!$H13/IF(('Non OECD total 2018'!$J13+'Non OECD total 2018'!$K13)=0,1,('Non OECD total 2018'!$J13+'Non OECD total 2018'!$K13))*-1</f>
        <v>0</v>
      </c>
      <c r="H98" s="77">
        <f t="shared" si="1"/>
        <v>0</v>
      </c>
      <c r="I98" s="77">
        <f t="shared" si="1"/>
        <v>0</v>
      </c>
    </row>
    <row r="99" spans="1:9" x14ac:dyDescent="0.35">
      <c r="A99" s="30" t="s">
        <v>173</v>
      </c>
      <c r="B99" s="40">
        <f t="shared" ref="B99:G99" si="3">1-B98</f>
        <v>1</v>
      </c>
      <c r="C99" s="40">
        <f t="shared" si="3"/>
        <v>1</v>
      </c>
      <c r="D99" s="40">
        <f t="shared" si="3"/>
        <v>1</v>
      </c>
      <c r="E99" s="40">
        <f t="shared" si="3"/>
        <v>1</v>
      </c>
      <c r="F99" s="40">
        <f t="shared" si="3"/>
        <v>1</v>
      </c>
      <c r="G99" s="40">
        <f t="shared" si="3"/>
        <v>1</v>
      </c>
      <c r="H99" s="89">
        <f>1-H98</f>
        <v>1</v>
      </c>
      <c r="I99" s="89">
        <f>1-I98</f>
        <v>1</v>
      </c>
    </row>
    <row r="100" spans="1:9" x14ac:dyDescent="0.35">
      <c r="A100" s="32" t="s">
        <v>175</v>
      </c>
      <c r="B100" s="82"/>
      <c r="C100" s="82"/>
      <c r="D100" s="82"/>
      <c r="E100" s="82"/>
      <c r="F100" s="82"/>
      <c r="G100" s="82"/>
      <c r="H100" s="42"/>
      <c r="I100" s="42"/>
    </row>
    <row r="101" spans="1:9" x14ac:dyDescent="0.35">
      <c r="A101" s="30" t="s">
        <v>145</v>
      </c>
      <c r="B101" s="40">
        <f>'Non OECD total 1995'!$H14/IF('Non OECD total 1995'!$K14=0,1,'Non OECD total 1995'!$K14)*-1</f>
        <v>0</v>
      </c>
      <c r="C101" s="40">
        <f>'Non OECD total 2000'!$H14/IF('Non OECD total 2000'!$K14=0,1,'Non OECD total 2000'!$K14)*-1</f>
        <v>0</v>
      </c>
      <c r="D101" s="40">
        <f>'Non OECD total 2005'!$H14/IF('Non OECD total 2005'!$K14=0,1,'Non OECD total 2005'!$K14)*-1</f>
        <v>9.2446219411857148E-6</v>
      </c>
      <c r="E101" s="40">
        <f>'Non OECD total 2010'!$H14/IF('Non OECD total 2010'!$K14=0,1,'Non OECD total 2010'!$K14)*-1</f>
        <v>0</v>
      </c>
      <c r="F101" s="40">
        <f>'Non OECD total 2015'!$H14/IF('Non OECD total 2015'!$K14=0,1,'Non OECD total 2015'!$K14)*-1</f>
        <v>2.4950722323411261E-4</v>
      </c>
      <c r="G101" s="40">
        <f>'Non OECD total 2018'!$H14/IF('Non OECD total 2018'!$K14=0,1,'Non OECD total 2018'!$K14)*-1</f>
        <v>1.694545982715631E-4</v>
      </c>
      <c r="H101" s="77">
        <f t="shared" si="1"/>
        <v>1.694545982715631E-4</v>
      </c>
      <c r="I101" s="77">
        <f t="shared" si="1"/>
        <v>1.694545982715631E-4</v>
      </c>
    </row>
    <row r="102" spans="1:9" x14ac:dyDescent="0.35">
      <c r="A102" s="30" t="s">
        <v>173</v>
      </c>
      <c r="B102" s="40">
        <f t="shared" ref="B102:G102" si="4">1-B101</f>
        <v>1</v>
      </c>
      <c r="C102" s="40">
        <f t="shared" si="4"/>
        <v>1</v>
      </c>
      <c r="D102" s="40">
        <f t="shared" si="4"/>
        <v>0.99999075537805882</v>
      </c>
      <c r="E102" s="40">
        <f t="shared" si="4"/>
        <v>1</v>
      </c>
      <c r="F102" s="40">
        <f t="shared" si="4"/>
        <v>0.99975049277676586</v>
      </c>
      <c r="G102" s="40">
        <f t="shared" si="4"/>
        <v>0.99983054540172844</v>
      </c>
      <c r="H102" s="89">
        <f>1-H101</f>
        <v>0.99983054540172844</v>
      </c>
      <c r="I102" s="89">
        <f>1-I101</f>
        <v>0.99983054540172844</v>
      </c>
    </row>
    <row r="103" spans="1:9" x14ac:dyDescent="0.35">
      <c r="A103" s="31" t="s">
        <v>176</v>
      </c>
      <c r="B103" s="81"/>
      <c r="C103" s="81"/>
      <c r="D103" s="81"/>
      <c r="E103" s="81"/>
      <c r="F103" s="81"/>
      <c r="G103" s="81"/>
      <c r="H103" s="42"/>
      <c r="I103" s="42"/>
    </row>
    <row r="104" spans="1:9" x14ac:dyDescent="0.35">
      <c r="A104" s="30" t="s">
        <v>177</v>
      </c>
      <c r="B104" s="40">
        <f>('Non OECD total 1995'!$J12+'Non OECD total 1995'!$G12+'Non OECD total 1995'!$H12)/('Non OECD total 1995'!$B12+'Non OECD total 1995'!$D12+'Non OECD total 1995'!$E12+'Non OECD total 1995'!$F12+'Non OECD total 1995'!$I12)*-1</f>
        <v>0.31182877694250877</v>
      </c>
      <c r="C104" s="40">
        <f>('Non OECD total 2000'!$J12+'Non OECD total 2000'!$G12+'Non OECD total 2000'!$H12)/('Non OECD total 2000'!$B12+'Non OECD total 2000'!$D12+'Non OECD total 2000'!$E12+'Non OECD total 2000'!$F12+'Non OECD total 2000'!$I12)*-1</f>
        <v>0.32012026085119866</v>
      </c>
      <c r="D104" s="40">
        <f>('Non OECD total 2005'!$J12+'Non OECD total 2005'!$G12+'Non OECD total 2005'!$H12)/('Non OECD total 2005'!$B12+'Non OECD total 2005'!$D12+'Non OECD total 2005'!$E12+'Non OECD total 2005'!$F12+'Non OECD total 2005'!$I12)*-1</f>
        <v>0.32271750319408166</v>
      </c>
      <c r="E104" s="40">
        <f>('Non OECD total 2010'!$J12+'Non OECD total 2010'!$G12+'Non OECD total 2010'!$H12)/('Non OECD total 2010'!$B12+'Non OECD total 2010'!$D12+'Non OECD total 2010'!$E12+'Non OECD total 2010'!$F12+'Non OECD total 2010'!$I12)*-1</f>
        <v>0.34084488130882129</v>
      </c>
      <c r="F104" s="40">
        <f>('Non OECD total 2015'!$J12+'Non OECD total 2015'!$G12+'Non OECD total 2015'!$H12)/('Non OECD total 2015'!$B12+'Non OECD total 2015'!$D12+'Non OECD total 2015'!$E12+'Non OECD total 2015'!$F12+'Non OECD total 2015'!$I12)*-1</f>
        <v>0.35712199870214145</v>
      </c>
      <c r="G104" s="40">
        <f>('Non OECD total 2018'!$J12+'Non OECD total 2018'!$G12+'Non OECD total 2018'!$H12)/('Non OECD total 2018'!$B12+'Non OECD total 2018'!$D12+'Non OECD total 2018'!$E12+'Non OECD total 2018'!$F12+'Non OECD total 2018'!$I12)*-1</f>
        <v>0.35638718475772746</v>
      </c>
      <c r="H104" s="77">
        <f t="shared" si="1"/>
        <v>0.35638718475772746</v>
      </c>
      <c r="I104" s="77">
        <f t="shared" si="1"/>
        <v>0.35638718475772746</v>
      </c>
    </row>
    <row r="105" spans="1:9" x14ac:dyDescent="0.35">
      <c r="A105" s="30" t="s">
        <v>163</v>
      </c>
      <c r="B105" s="40">
        <f>('Non OECD total 1995'!$J13+'Non OECD total 1995'!$K13+'Non OECD total 1995'!$H13)/IF(('Non OECD total 1995'!$B13+'Non OECD total 1995'!$D13+'Non OECD total 1995'!$E13+'Non OECD total 1995'!$F13+'Non OECD total 1995'!$I13)=0,1,('Non OECD total 1995'!$B13+'Non OECD total 1995'!$D13+'Non OECD total 1995'!$E13+'Non OECD total 1995'!$F13+'Non OECD total 1995'!$I13))*-1</f>
        <v>0.66939245629646638</v>
      </c>
      <c r="C105" s="40">
        <f>('Non OECD total 2000'!$J13+'Non OECD total 2000'!$K13+'Non OECD total 2000'!$H13)/IF(('Non OECD total 2000'!$B13+'Non OECD total 2000'!$D13+'Non OECD total 2000'!$E13+'Non OECD total 2000'!$F13+'Non OECD total 2000'!$I13)=0,1,('Non OECD total 2000'!$B13+'Non OECD total 2000'!$D13+'Non OECD total 2000'!$E13+'Non OECD total 2000'!$F13+'Non OECD total 2000'!$I13))*-1</f>
        <v>0.60726992409867175</v>
      </c>
      <c r="D105" s="40">
        <f>('Non OECD total 2005'!$J13+'Non OECD total 2005'!$K13+'Non OECD total 2005'!$H13)/IF(('Non OECD total 2005'!$B13+'Non OECD total 2005'!$D13+'Non OECD total 2005'!$E13+'Non OECD total 2005'!$F13+'Non OECD total 2005'!$I13)=0,1,('Non OECD total 2005'!$B13+'Non OECD total 2005'!$D13+'Non OECD total 2005'!$E13+'Non OECD total 2005'!$F13+'Non OECD total 2005'!$I13))*-1</f>
        <v>0.51280209126791776</v>
      </c>
      <c r="E105" s="40">
        <f>('Non OECD total 2010'!$J13+'Non OECD total 2010'!$K13+'Non OECD total 2010'!$H13)/IF(('Non OECD total 2010'!$B13+'Non OECD total 2010'!$D13+'Non OECD total 2010'!$E13+'Non OECD total 2010'!$F13+'Non OECD total 2010'!$I13)=0,1,('Non OECD total 2010'!$B13+'Non OECD total 2010'!$D13+'Non OECD total 2010'!$E13+'Non OECD total 2010'!$F13+'Non OECD total 2010'!$I13))*-1</f>
        <v>0.51675595992437018</v>
      </c>
      <c r="F105" s="40">
        <f>('Non OECD total 2015'!$J13+'Non OECD total 2015'!$K13+'Non OECD total 2015'!$H13)/IF(('Non OECD total 2015'!$B13+'Non OECD total 2015'!$D13+'Non OECD total 2015'!$E13+'Non OECD total 2015'!$F13+'Non OECD total 2015'!$I13)=0,1,('Non OECD total 2015'!$B13+'Non OECD total 2015'!$D13+'Non OECD total 2015'!$E13+'Non OECD total 2015'!$F13+'Non OECD total 2015'!$I13))*-1</f>
        <v>0.52802838042771816</v>
      </c>
      <c r="G105" s="40">
        <f>('Non OECD total 2018'!$J13+'Non OECD total 2018'!$K13+'Non OECD total 2018'!$H13)/IF(('Non OECD total 2018'!$B13+'Non OECD total 2018'!$D13+'Non OECD total 2018'!$E13+'Non OECD total 2018'!$F13+'Non OECD total 2018'!$I13)=0,1,('Non OECD total 2018'!$B13+'Non OECD total 2018'!$D13+'Non OECD total 2018'!$E13+'Non OECD total 2018'!$F13+'Non OECD total 2018'!$I13))*-1</f>
        <v>0.54274850007339814</v>
      </c>
      <c r="H105" s="77">
        <f t="shared" si="1"/>
        <v>0.54274850007339814</v>
      </c>
      <c r="I105" s="77">
        <f t="shared" si="1"/>
        <v>0.54274850007339814</v>
      </c>
    </row>
    <row r="106" spans="1:9" x14ac:dyDescent="0.35">
      <c r="A106" s="30" t="s">
        <v>178</v>
      </c>
      <c r="B106" s="40">
        <f>('Non OECD total 1995'!$K14+'Non OECD total 1995'!$H14)/IF(('Non OECD total 1995'!$B14+'Non OECD total 1995'!$D14+'Non OECD total 1995'!$E14+'Non OECD total 1995'!$I14)=0,1,('Non OECD total 1995'!$B14+'Non OECD total 1995'!$D14+'Non OECD total 1995'!$E14+'Non OECD total 1995'!$I14))*-1</f>
        <v>0.88958859298687532</v>
      </c>
      <c r="C106" s="40">
        <f>('Non OECD total 2000'!$K14+'Non OECD total 2000'!$H14)/IF(('Non OECD total 2000'!$B14+'Non OECD total 2000'!$D14+'Non OECD total 2000'!$E14+'Non OECD total 2000'!$I14)=0,1,('Non OECD total 2000'!$B14+'Non OECD total 2000'!$D14+'Non OECD total 2000'!$E14+'Non OECD total 2000'!$I14))*-1</f>
        <v>0.78435214890603777</v>
      </c>
      <c r="D106" s="40">
        <f>('Non OECD total 2005'!$K14+'Non OECD total 2005'!$H14)/IF(('Non OECD total 2005'!$B14+'Non OECD total 2005'!$D14+'Non OECD total 2005'!$E14+'Non OECD total 2005'!$I14)=0,1,('Non OECD total 2005'!$B14+'Non OECD total 2005'!$D14+'Non OECD total 2005'!$E14+'Non OECD total 2005'!$I14))*-1</f>
        <v>0.9095189647778964</v>
      </c>
      <c r="E106" s="40">
        <f>('Non OECD total 2010'!$K14+'Non OECD total 2010'!$H14)/IF(('Non OECD total 2010'!$B14+'Non OECD total 2010'!$D14+'Non OECD total 2010'!$E14+'Non OECD total 2010'!$I14)=0,1,('Non OECD total 2010'!$B14+'Non OECD total 2010'!$D14+'Non OECD total 2010'!$E14+'Non OECD total 2010'!$I14))*-1</f>
        <v>0.91509547050261153</v>
      </c>
      <c r="F106" s="40">
        <f>('Non OECD total 2015'!$K14+'Non OECD total 2015'!$H14)/IF(('Non OECD total 2015'!$B14+'Non OECD total 2015'!$D14+'Non OECD total 2015'!$E14+'Non OECD total 2015'!$I14)=0,1,('Non OECD total 2015'!$B14+'Non OECD total 2015'!$D14+'Non OECD total 2015'!$E14+'Non OECD total 2015'!$I14))*-1</f>
        <v>0.89985065744410886</v>
      </c>
      <c r="G106" s="40">
        <f>('Non OECD total 2018'!$K14+'Non OECD total 2018'!$H14)/IF(('Non OECD total 2018'!$B14+'Non OECD total 2018'!$D14+'Non OECD total 2018'!$E14+'Non OECD total 2018'!$I14)=0,1,('Non OECD total 2018'!$B14+'Non OECD total 2018'!$D14+'Non OECD total 2018'!$E14+'Non OECD total 2018'!$I14))*-1</f>
        <v>0.96164099698483108</v>
      </c>
      <c r="H106" s="77">
        <f t="shared" si="1"/>
        <v>0.96164099698483108</v>
      </c>
      <c r="I106" s="77">
        <f t="shared" si="1"/>
        <v>0.96164099698483108</v>
      </c>
    </row>
    <row r="107" spans="1:9" x14ac:dyDescent="0.35">
      <c r="A107" s="30" t="s">
        <v>170</v>
      </c>
      <c r="B107" s="40">
        <f>'Non OECD total 1995'!$D16/IF('Non OECD total 1995'!$C16=0,1,'Non OECD total 1995'!$C16)*-1</f>
        <v>0.96672662582476832</v>
      </c>
      <c r="C107" s="40">
        <f>'Non OECD total 2000'!$D16/IF('Non OECD total 2000'!$C16=0,1,'Non OECD total 2000'!$C16)*-1</f>
        <v>0.98406818522486916</v>
      </c>
      <c r="D107" s="40">
        <f>'Non OECD total 2005'!$D16/IF('Non OECD total 2005'!$C16=0,1,'Non OECD total 2005'!$C16)*-1</f>
        <v>0.97925804525549232</v>
      </c>
      <c r="E107" s="40">
        <f>'Non OECD total 2010'!$D16/IF('Non OECD total 2010'!$C16=0,1,'Non OECD total 2010'!$C16)*-1</f>
        <v>0.97692423584279009</v>
      </c>
      <c r="F107" s="40">
        <f>'Non OECD total 2015'!$D16/IF('Non OECD total 2015'!$C16=0,1,'Non OECD total 2015'!$C16)*-1</f>
        <v>0.97816491876598144</v>
      </c>
      <c r="G107" s="40">
        <f>'Non OECD total 2018'!$D16/IF('Non OECD total 2018'!$C16=0,1,'Non OECD total 2018'!$C16)*-1</f>
        <v>0.97517789461459681</v>
      </c>
      <c r="H107" s="77">
        <f t="shared" si="1"/>
        <v>0.97517789461459681</v>
      </c>
      <c r="I107" s="77">
        <f t="shared" si="1"/>
        <v>0.97517789461459681</v>
      </c>
    </row>
    <row r="108" spans="1:9" x14ac:dyDescent="0.35">
      <c r="A108" s="32" t="s">
        <v>179</v>
      </c>
      <c r="B108" s="82"/>
      <c r="C108" s="82"/>
      <c r="D108" s="82"/>
      <c r="E108" s="82"/>
      <c r="F108" s="82"/>
      <c r="G108" s="82"/>
      <c r="H108" s="42"/>
      <c r="I108" s="42"/>
    </row>
    <row r="109" spans="1:9" x14ac:dyDescent="0.35">
      <c r="A109" s="30" t="s">
        <v>141</v>
      </c>
      <c r="B109" s="40">
        <f>'Non OECD total 1995'!$B12/('Non OECD total 1995'!$L12-'Non OECD total 1995'!$J12-'Non OECD total 1995'!$G12-'Non OECD total 1995'!$H12)</f>
        <v>0.5488812457276343</v>
      </c>
      <c r="C109" s="40">
        <f>'Non OECD total 2000'!$B12/('Non OECD total 2000'!$L12-'Non OECD total 2000'!$J12-'Non OECD total 2000'!$G12-'Non OECD total 2000'!$H12)</f>
        <v>0.55847130699423442</v>
      </c>
      <c r="D109" s="40">
        <f>'Non OECD total 2005'!$B12/('Non OECD total 2005'!$L12-'Non OECD total 2005'!$J12-'Non OECD total 2005'!$G12-'Non OECD total 2005'!$H12)</f>
        <v>0.5193709894038796</v>
      </c>
      <c r="E109" s="40">
        <f>'Non OECD total 2010'!$B12/('Non OECD total 2010'!$L12-'Non OECD total 2010'!$J12-'Non OECD total 2010'!$G12-'Non OECD total 2010'!$H12)</f>
        <v>0.54372159840113787</v>
      </c>
      <c r="F109" s="40">
        <f>'Non OECD total 2015'!$B12/('Non OECD total 2015'!$L12-'Non OECD total 2015'!$J12-'Non OECD total 2015'!$G12-'Non OECD total 2015'!$H12)</f>
        <v>0.55553411675449593</v>
      </c>
      <c r="G109" s="40">
        <f>'Non OECD total 2018'!$B12/('Non OECD total 2018'!$L12-'Non OECD total 2018'!$J12-'Non OECD total 2018'!$G12-'Non OECD total 2018'!$H12)</f>
        <v>0.56747352053772926</v>
      </c>
      <c r="H109" s="89">
        <f>1-H110-H111-H112-H113-H114</f>
        <v>0.56764460735332112</v>
      </c>
      <c r="I109" s="89">
        <f>1-I110-I111-I112-I113-I114</f>
        <v>0.56764460735332112</v>
      </c>
    </row>
    <row r="110" spans="1:9" x14ac:dyDescent="0.35">
      <c r="A110" s="30" t="s">
        <v>142</v>
      </c>
      <c r="B110" s="40">
        <f>'Non OECD total 1995'!$C12/('Non OECD total 1995'!$L12-'Non OECD total 1995'!$J12-'Non OECD total 1995'!$G12-'Non OECD total 1995'!$H12)</f>
        <v>2.9454428996646697E-2</v>
      </c>
      <c r="C110" s="40">
        <f>'Non OECD total 2000'!$C12/('Non OECD total 2000'!$L12-'Non OECD total 2000'!$J12-'Non OECD total 2000'!$G12-'Non OECD total 2000'!$H12)</f>
        <v>1.6769896813113961E-2</v>
      </c>
      <c r="D110" s="40">
        <f>'Non OECD total 2005'!$C12/('Non OECD total 2005'!$L12-'Non OECD total 2005'!$J12-'Non OECD total 2005'!$G12-'Non OECD total 2005'!$H12)</f>
        <v>1.3465385178318778E-2</v>
      </c>
      <c r="E110" s="40">
        <f>'Non OECD total 2010'!$C12/('Non OECD total 2010'!$L12-'Non OECD total 2010'!$J12-'Non OECD total 2010'!$G12-'Non OECD total 2010'!$H12)</f>
        <v>2.0302376395631604E-2</v>
      </c>
      <c r="F110" s="40">
        <f>'Non OECD total 2015'!$C12/('Non OECD total 2015'!$L12-'Non OECD total 2015'!$J12-'Non OECD total 2015'!$G12-'Non OECD total 2015'!$H12)</f>
        <v>2.2730838039089433E-2</v>
      </c>
      <c r="G110" s="40">
        <f>'Non OECD total 2018'!$C12/('Non OECD total 2018'!$L12-'Non OECD total 2018'!$J12-'Non OECD total 2018'!$G12-'Non OECD total 2018'!$H12)</f>
        <v>1.4785117884177638E-2</v>
      </c>
      <c r="H110" s="77">
        <f t="shared" si="1"/>
        <v>1.4785117884177638E-2</v>
      </c>
      <c r="I110" s="77">
        <f t="shared" si="1"/>
        <v>1.4785117884177638E-2</v>
      </c>
    </row>
    <row r="111" spans="1:9" x14ac:dyDescent="0.35">
      <c r="A111" s="30" t="s">
        <v>143</v>
      </c>
      <c r="B111" s="40">
        <f>'Non OECD total 1995'!$D12/('Non OECD total 1995'!$L12-'Non OECD total 1995'!$J12-'Non OECD total 1995'!$G12-'Non OECD total 1995'!$H12)</f>
        <v>0.15022714183446634</v>
      </c>
      <c r="C111" s="40">
        <f>'Non OECD total 2000'!$D12/('Non OECD total 2000'!$L12-'Non OECD total 2000'!$J12-'Non OECD total 2000'!$G12-'Non OECD total 2000'!$H12)</f>
        <v>0.12997481162796481</v>
      </c>
      <c r="D111" s="40">
        <f>'Non OECD total 2005'!$D12/('Non OECD total 2005'!$L12-'Non OECD total 2005'!$J12-'Non OECD total 2005'!$G12-'Non OECD total 2005'!$H12)</f>
        <v>0.11721089418515918</v>
      </c>
      <c r="E111" s="40">
        <f>'Non OECD total 2010'!$D12/('Non OECD total 2010'!$L12-'Non OECD total 2010'!$J12-'Non OECD total 2010'!$G12-'Non OECD total 2010'!$H12)</f>
        <v>9.5498522421967005E-2</v>
      </c>
      <c r="F111" s="40">
        <f>'Non OECD total 2015'!$D12/('Non OECD total 2015'!$L12-'Non OECD total 2015'!$J12-'Non OECD total 2015'!$G12-'Non OECD total 2015'!$H12)</f>
        <v>7.9890264919811299E-2</v>
      </c>
      <c r="G111" s="40">
        <f>'Non OECD total 2018'!$D12/('Non OECD total 2018'!$L12-'Non OECD total 2018'!$J12-'Non OECD total 2018'!$G12-'Non OECD total 2018'!$H12)</f>
        <v>5.3381523598769735E-2</v>
      </c>
      <c r="H111" s="77">
        <f t="shared" si="1"/>
        <v>5.3381523598769735E-2</v>
      </c>
      <c r="I111" s="77">
        <f t="shared" si="1"/>
        <v>5.3381523598769735E-2</v>
      </c>
    </row>
    <row r="112" spans="1:9" x14ac:dyDescent="0.35">
      <c r="A112" s="30" t="s">
        <v>241</v>
      </c>
      <c r="B112" s="40">
        <f>'Non OECD total 1995'!$E12/('Non OECD total 1995'!$L12-'Non OECD total 1995'!$J12-'Non OECD total 1995'!$G12-'Non OECD total 1995'!$H12)</f>
        <v>0.17493823572155209</v>
      </c>
      <c r="C112" s="40">
        <f>'Non OECD total 2000'!$E12/('Non OECD total 2000'!$L12-'Non OECD total 2000'!$J12-'Non OECD total 2000'!$G12-'Non OECD total 2000'!$H12)</f>
        <v>0.19579443952357314</v>
      </c>
      <c r="D112" s="40">
        <f>'Non OECD total 2005'!$E12/('Non OECD total 2005'!$L12-'Non OECD total 2005'!$J12-'Non OECD total 2005'!$G12-'Non OECD total 2005'!$H12)</f>
        <v>0.24424375035094872</v>
      </c>
      <c r="E112" s="40">
        <f>'Non OECD total 2010'!$E12/('Non OECD total 2010'!$L12-'Non OECD total 2010'!$J12-'Non OECD total 2010'!$G12-'Non OECD total 2010'!$H12)</f>
        <v>0.23896223108520462</v>
      </c>
      <c r="F112" s="40">
        <f>'Non OECD total 2015'!$E12/('Non OECD total 2015'!$L12-'Non OECD total 2015'!$J12-'Non OECD total 2015'!$G12-'Non OECD total 2015'!$H12)</f>
        <v>0.22991346801880516</v>
      </c>
      <c r="G112" s="40">
        <f>'Non OECD total 2018'!$E12/('Non OECD total 2018'!$L12-'Non OECD total 2018'!$J12-'Non OECD total 2018'!$G12-'Non OECD total 2018'!$H12)</f>
        <v>0.23047343767516901</v>
      </c>
      <c r="H112" s="77">
        <f t="shared" si="1"/>
        <v>0.23047343767516901</v>
      </c>
      <c r="I112" s="77">
        <f t="shared" si="1"/>
        <v>0.23047343767516901</v>
      </c>
    </row>
    <row r="113" spans="1:11" x14ac:dyDescent="0.35">
      <c r="A113" s="30" t="s">
        <v>180</v>
      </c>
      <c r="B113" s="40">
        <f>'Non OECD total 1995'!$F12/('Non OECD total 1995'!$L12-'Non OECD total 1995'!$J12-'Non OECD total 1995'!$G12-'Non OECD total 1995'!$H12)</f>
        <v>9.2954566250598808E-2</v>
      </c>
      <c r="C113" s="40">
        <f>'Non OECD total 2000'!$F12/('Non OECD total 2000'!$L12-'Non OECD total 2000'!$J12-'Non OECD total 2000'!$G12-'Non OECD total 2000'!$H12)</f>
        <v>9.3857779248631618E-2</v>
      </c>
      <c r="D113" s="40">
        <f>'Non OECD total 2005'!$F12/('Non OECD total 2005'!$L12-'Non OECD total 2005'!$J12-'Non OECD total 2005'!$G12-'Non OECD total 2005'!$H12)</f>
        <v>9.738286596934112E-2</v>
      </c>
      <c r="E113" s="40">
        <f>'Non OECD total 2010'!$F12/('Non OECD total 2010'!$L12-'Non OECD total 2010'!$J12-'Non OECD total 2010'!$G12-'Non OECD total 2010'!$H12)</f>
        <v>8.2575561896587837E-2</v>
      </c>
      <c r="F113" s="40">
        <f>'Non OECD total 2015'!$F12/('Non OECD total 2015'!$L12-'Non OECD total 2015'!$J12-'Non OECD total 2015'!$G12-'Non OECD total 2015'!$H12)</f>
        <v>8.5274258443714307E-2</v>
      </c>
      <c r="G113" s="40">
        <f>'Non OECD total 2018'!$F12/('Non OECD total 2018'!$L12-'Non OECD total 2018'!$J12-'Non OECD total 2018'!$G12-'Non OECD total 2018'!$H12)</f>
        <v>9.2854322744797935E-2</v>
      </c>
      <c r="H113" s="77">
        <f t="shared" si="1"/>
        <v>9.2854322744797935E-2</v>
      </c>
      <c r="I113" s="77">
        <f t="shared" si="1"/>
        <v>9.2854322744797935E-2</v>
      </c>
    </row>
    <row r="114" spans="1:11" x14ac:dyDescent="0.35">
      <c r="A114" s="30" t="s">
        <v>146</v>
      </c>
      <c r="B114" s="40">
        <f>'Non OECD total 1995'!$I12/('Non OECD total 1995'!$L12-'Non OECD total 1995'!$J12-'Non OECD total 1995'!$G12-'Non OECD total 1995'!$H12)</f>
        <v>3.5430358421202775E-3</v>
      </c>
      <c r="C114" s="40">
        <f>'Non OECD total 2000'!$I12/('Non OECD total 2000'!$L12-'Non OECD total 2000'!$J12-'Non OECD total 2000'!$G12-'Non OECD total 2000'!$H12)</f>
        <v>5.0203702441941828E-3</v>
      </c>
      <c r="D114" s="40">
        <f>'Non OECD total 2005'!$I12/('Non OECD total 2005'!$L12-'Non OECD total 2005'!$J12-'Non OECD total 2005'!$G12-'Non OECD total 2005'!$H12)</f>
        <v>8.1420106577952955E-3</v>
      </c>
      <c r="E114" s="40">
        <f>'Non OECD total 2010'!$I12/('Non OECD total 2010'!$L12-'Non OECD total 2010'!$J12-'Non OECD total 2010'!$G12-'Non OECD total 2010'!$H12)</f>
        <v>1.8763444468624432E-2</v>
      </c>
      <c r="F114" s="40">
        <f>'Non OECD total 2015'!$I12/('Non OECD total 2015'!$L12-'Non OECD total 2015'!$J12-'Non OECD total 2015'!$G12-'Non OECD total 2015'!$H12)</f>
        <v>2.6465197811201657E-2</v>
      </c>
      <c r="G114" s="40">
        <f>'Non OECD total 2018'!$I12/('Non OECD total 2018'!$L12-'Non OECD total 2018'!$J12-'Non OECD total 2018'!$G12-'Non OECD total 2018'!$H12)</f>
        <v>4.0860990743764591E-2</v>
      </c>
      <c r="H114" s="77">
        <f t="shared" si="1"/>
        <v>4.0860990743764591E-2</v>
      </c>
      <c r="I114" s="77">
        <f t="shared" si="1"/>
        <v>4.0860990743764591E-2</v>
      </c>
    </row>
    <row r="115" spans="1:11" x14ac:dyDescent="0.35">
      <c r="A115" s="32" t="s">
        <v>181</v>
      </c>
      <c r="B115" s="82"/>
      <c r="C115" s="82"/>
      <c r="D115" s="82"/>
      <c r="E115" s="82"/>
      <c r="F115" s="82"/>
      <c r="G115" s="82"/>
      <c r="H115" s="42"/>
      <c r="I115" s="42"/>
    </row>
    <row r="116" spans="1:11" x14ac:dyDescent="0.35">
      <c r="A116" s="30" t="s">
        <v>141</v>
      </c>
      <c r="B116" s="40">
        <f>'Non OECD total 1995'!$B13/IF(('Non OECD total 1995'!$L13-'Non OECD total 1995'!$J13-'Non OECD total 1995'!$K13-'Non OECD total 1995'!$G13-'Non OECD total 1995'!$H13)=0,1,('Non OECD total 1995'!$L13-'Non OECD total 1995'!$J13-'Non OECD total 1995'!$K13-'Non OECD total 1995'!$G13-'Non OECD total 1995'!$H13))</f>
        <v>0.31116708708364388</v>
      </c>
      <c r="C116" s="40">
        <f>'Non OECD total 2000'!$B13/IF(('Non OECD total 2000'!$L13-'Non OECD total 2000'!$J13-'Non OECD total 2000'!$K13-'Non OECD total 2000'!$G13-'Non OECD total 2000'!$H13)=0,1,('Non OECD total 2000'!$L13-'Non OECD total 2000'!$J13-'Non OECD total 2000'!$K13-'Non OECD total 2000'!$G13-'Non OECD total 2000'!$H13))</f>
        <v>0.33552187928415278</v>
      </c>
      <c r="D116" s="40">
        <f>'Non OECD total 2005'!$B13/IF(('Non OECD total 2005'!$L13-'Non OECD total 2005'!$J13-'Non OECD total 2005'!$K13-'Non OECD total 2005'!$G13-'Non OECD total 2005'!$H13)=0,1,('Non OECD total 2005'!$L13-'Non OECD total 2005'!$J13-'Non OECD total 2005'!$K13-'Non OECD total 2005'!$G13-'Non OECD total 2005'!$H13))</f>
        <v>0.65566508091488873</v>
      </c>
      <c r="E116" s="40">
        <f>'Non OECD total 2010'!$B13/IF(('Non OECD total 2010'!$L13-'Non OECD total 2010'!$J13-'Non OECD total 2010'!$K13-'Non OECD total 2010'!$G13-'Non OECD total 2010'!$H13)=0,1,('Non OECD total 2010'!$L13-'Non OECD total 2010'!$J13-'Non OECD total 2010'!$K13-'Non OECD total 2010'!$G13-'Non OECD total 2010'!$H13))</f>
        <v>0.68617391633673896</v>
      </c>
      <c r="F116" s="40">
        <f>'Non OECD total 2015'!$B13/IF(('Non OECD total 2015'!$L13-'Non OECD total 2015'!$J13-'Non OECD total 2015'!$K13-'Non OECD total 2015'!$G13-'Non OECD total 2015'!$H13)=0,1,('Non OECD total 2015'!$L13-'Non OECD total 2015'!$J13-'Non OECD total 2015'!$K13-'Non OECD total 2015'!$G13-'Non OECD total 2015'!$H13))</f>
        <v>0.69912311243503944</v>
      </c>
      <c r="G116" s="40">
        <f>'Non OECD total 2018'!$B13/IF(('Non OECD total 2018'!$L13-'Non OECD total 2018'!$J13-'Non OECD total 2018'!$K13-'Non OECD total 2018'!$G13-'Non OECD total 2018'!$H13)=0,1,('Non OECD total 2018'!$L13-'Non OECD total 2018'!$J13-'Non OECD total 2018'!$K13-'Non OECD total 2018'!$G13-'Non OECD total 2018'!$H13))</f>
        <v>0.71819956459408874</v>
      </c>
      <c r="H116" s="89">
        <f>1-H117-H118-H119-H120-H121</f>
        <v>0.71819956459408874</v>
      </c>
      <c r="I116" s="89">
        <f>1-I117-I118-I119-I120-I121</f>
        <v>0.71819956459408874</v>
      </c>
    </row>
    <row r="117" spans="1:11" x14ac:dyDescent="0.35">
      <c r="A117" s="30" t="s">
        <v>142</v>
      </c>
      <c r="B117" s="40">
        <f>'Non OECD total 1995'!$C13/IF(('Non OECD total 1995'!$L13-'Non OECD total 1995'!$J13-'Non OECD total 1995'!$K13-'Non OECD total 1995'!$G13-'Non OECD total 1995'!$H13)=0,1,('Non OECD total 1995'!$L13-'Non OECD total 1995'!$J13-'Non OECD total 1995'!$K13-'Non OECD total 1995'!$G13-'Non OECD total 1995'!$H13))</f>
        <v>1.4045749011064609E-3</v>
      </c>
      <c r="C117" s="40">
        <f>'Non OECD total 2000'!$C13/IF(('Non OECD total 2000'!$L13-'Non OECD total 2000'!$J13-'Non OECD total 2000'!$K13-'Non OECD total 2000'!$G13-'Non OECD total 2000'!$H13)=0,1,('Non OECD total 2000'!$L13-'Non OECD total 2000'!$J13-'Non OECD total 2000'!$K13-'Non OECD total 2000'!$G13-'Non OECD total 2000'!$H13))</f>
        <v>2.4824928674645224E-4</v>
      </c>
      <c r="D117" s="40">
        <f>'Non OECD total 2005'!$C13/IF(('Non OECD total 2005'!$L13-'Non OECD total 2005'!$J13-'Non OECD total 2005'!$K13-'Non OECD total 2005'!$G13-'Non OECD total 2005'!$H13)=0,1,('Non OECD total 2005'!$L13-'Non OECD total 2005'!$J13-'Non OECD total 2005'!$K13-'Non OECD total 2005'!$G13-'Non OECD total 2005'!$H13))</f>
        <v>6.9246802528893227E-6</v>
      </c>
      <c r="E117" s="40">
        <f>'Non OECD total 2010'!$C13/IF(('Non OECD total 2010'!$L13-'Non OECD total 2010'!$J13-'Non OECD total 2010'!$K13-'Non OECD total 2010'!$G13-'Non OECD total 2010'!$H13)=0,1,('Non OECD total 2010'!$L13-'Non OECD total 2010'!$J13-'Non OECD total 2010'!$K13-'Non OECD total 2010'!$G13-'Non OECD total 2010'!$H13))</f>
        <v>1.6022979866397481E-5</v>
      </c>
      <c r="F117" s="40">
        <f>'Non OECD total 2015'!$C13/IF(('Non OECD total 2015'!$L13-'Non OECD total 2015'!$J13-'Non OECD total 2015'!$K13-'Non OECD total 2015'!$G13-'Non OECD total 2015'!$H13)=0,1,('Non OECD total 2015'!$L13-'Non OECD total 2015'!$J13-'Non OECD total 2015'!$K13-'Non OECD total 2015'!$G13-'Non OECD total 2015'!$H13))</f>
        <v>9.0267837569474001E-6</v>
      </c>
      <c r="G117" s="40">
        <f>'Non OECD total 2018'!$C13/IF(('Non OECD total 2018'!$L13-'Non OECD total 2018'!$J13-'Non OECD total 2018'!$K13-'Non OECD total 2018'!$G13-'Non OECD total 2018'!$H13)=0,1,('Non OECD total 2018'!$L13-'Non OECD total 2018'!$J13-'Non OECD total 2018'!$K13-'Non OECD total 2018'!$G13-'Non OECD total 2018'!$H13))</f>
        <v>2.4860043872058377E-5</v>
      </c>
      <c r="H117" s="77">
        <f t="shared" si="1"/>
        <v>2.4860043872058377E-5</v>
      </c>
      <c r="I117" s="77">
        <f t="shared" si="1"/>
        <v>2.4860043872058377E-5</v>
      </c>
    </row>
    <row r="118" spans="1:11" x14ac:dyDescent="0.35">
      <c r="A118" s="30" t="s">
        <v>143</v>
      </c>
      <c r="B118" s="40">
        <f>'Non OECD total 1995'!$D13/IF('Non OECD total 1995'!$L13-'Non OECD total 1995'!$J13-'Non OECD total 1995'!$K13-'Non OECD total 1995'!$G13-'Non OECD total 1995'!$H13=0,1,('Non OECD total 1995'!$L13-'Non OECD total 1995'!$J13-'Non OECD total 1995'!$K13-'Non OECD total 1995'!$G13-'Non OECD total 1995'!$H13))</f>
        <v>0.10965000286647938</v>
      </c>
      <c r="C118" s="40">
        <f>'Non OECD total 2000'!$D13/IF('Non OECD total 2000'!$L13-'Non OECD total 2000'!$J13-'Non OECD total 2000'!$K13-'Non OECD total 2000'!$G13-'Non OECD total 2000'!$H13=0,1,('Non OECD total 2000'!$L13-'Non OECD total 2000'!$J13-'Non OECD total 2000'!$K13-'Non OECD total 2000'!$G13-'Non OECD total 2000'!$H13))</f>
        <v>7.5601170847382271E-2</v>
      </c>
      <c r="D118" s="40">
        <f>'Non OECD total 2005'!$D13/IF('Non OECD total 2005'!$L13-'Non OECD total 2005'!$J13-'Non OECD total 2005'!$K13-'Non OECD total 2005'!$G13-'Non OECD total 2005'!$H13=0,1,('Non OECD total 2005'!$L13-'Non OECD total 2005'!$J13-'Non OECD total 2005'!$K13-'Non OECD total 2005'!$G13-'Non OECD total 2005'!$H13))</f>
        <v>2.3732610396714933E-2</v>
      </c>
      <c r="E118" s="40">
        <f>'Non OECD total 2010'!$D13/IF('Non OECD total 2010'!$L13-'Non OECD total 2010'!$J13-'Non OECD total 2010'!$K13-'Non OECD total 2010'!$G13-'Non OECD total 2010'!$H13=0,1,('Non OECD total 2010'!$L13-'Non OECD total 2010'!$J13-'Non OECD total 2010'!$K13-'Non OECD total 2010'!$G13-'Non OECD total 2010'!$H13))</f>
        <v>8.4732430802576496E-3</v>
      </c>
      <c r="F118" s="40">
        <f>'Non OECD total 2015'!$D13/IF('Non OECD total 2015'!$L13-'Non OECD total 2015'!$J13-'Non OECD total 2015'!$K13-'Non OECD total 2015'!$G13-'Non OECD total 2015'!$H13=0,1,('Non OECD total 2015'!$L13-'Non OECD total 2015'!$J13-'Non OECD total 2015'!$K13-'Non OECD total 2015'!$G13-'Non OECD total 2015'!$H13))</f>
        <v>7.3091157620539804E-3</v>
      </c>
      <c r="G118" s="40">
        <f>'Non OECD total 2018'!$D13/IF('Non OECD total 2018'!$L13-'Non OECD total 2018'!$J13-'Non OECD total 2018'!$K13-'Non OECD total 2018'!$G13-'Non OECD total 2018'!$H13=0,1,('Non OECD total 2018'!$L13-'Non OECD total 2018'!$J13-'Non OECD total 2018'!$K13-'Non OECD total 2018'!$G13-'Non OECD total 2018'!$H13))</f>
        <v>5.2217930247452143E-3</v>
      </c>
      <c r="H118" s="77">
        <f t="shared" si="1"/>
        <v>5.2217930247452143E-3</v>
      </c>
      <c r="I118" s="77">
        <f t="shared" si="1"/>
        <v>5.2217930247452143E-3</v>
      </c>
    </row>
    <row r="119" spans="1:11" x14ac:dyDescent="0.35">
      <c r="A119" s="30" t="s">
        <v>241</v>
      </c>
      <c r="B119" s="40">
        <f>'Non OECD total 1995'!$E13/IF(('Non OECD total 1995'!$L13-'Non OECD total 1995'!$J13-'Non OECD total 1995'!$K13-'Non OECD total 1995'!$G13-'Non OECD total 1995'!$H13)=0,1,('Non OECD total 1995'!$L13-'Non OECD total 1995'!$J13-'Non OECD total 1995'!$K13-'Non OECD total 1995'!$G13-'Non OECD total 1995'!$H13))</f>
        <v>0.56754858682566067</v>
      </c>
      <c r="C119" s="40">
        <f>'Non OECD total 2000'!$E13/IF(('Non OECD total 2000'!$L13-'Non OECD total 2000'!$J13-'Non OECD total 2000'!$K13-'Non OECD total 2000'!$G13-'Non OECD total 2000'!$H13)=0,1,('Non OECD total 2000'!$L13-'Non OECD total 2000'!$J13-'Non OECD total 2000'!$K13-'Non OECD total 2000'!$G13-'Non OECD total 2000'!$H13))</f>
        <v>0.57525288080329018</v>
      </c>
      <c r="D119" s="40">
        <f>'Non OECD total 2005'!$E13/IF(('Non OECD total 2005'!$L13-'Non OECD total 2005'!$J13-'Non OECD total 2005'!$K13-'Non OECD total 2005'!$G13-'Non OECD total 2005'!$H13)=0,1,('Non OECD total 2005'!$L13-'Non OECD total 2005'!$J13-'Non OECD total 2005'!$K13-'Non OECD total 2005'!$G13-'Non OECD total 2005'!$H13))</f>
        <v>0.310438609247218</v>
      </c>
      <c r="E119" s="40">
        <f>'Non OECD total 2010'!$E13/IF(('Non OECD total 2010'!$L13-'Non OECD total 2010'!$J13-'Non OECD total 2010'!$K13-'Non OECD total 2010'!$G13-'Non OECD total 2010'!$H13)=0,1,('Non OECD total 2010'!$L13-'Non OECD total 2010'!$J13-'Non OECD total 2010'!$K13-'Non OECD total 2010'!$G13-'Non OECD total 2010'!$H13))</f>
        <v>0.29089282957084633</v>
      </c>
      <c r="F119" s="40">
        <f>'Non OECD total 2015'!$E13/IF(('Non OECD total 2015'!$L13-'Non OECD total 2015'!$J13-'Non OECD total 2015'!$K13-'Non OECD total 2015'!$G13-'Non OECD total 2015'!$H13)=0,1,('Non OECD total 2015'!$L13-'Non OECD total 2015'!$J13-'Non OECD total 2015'!$K13-'Non OECD total 2015'!$G13-'Non OECD total 2015'!$H13))</f>
        <v>0.27572182031542164</v>
      </c>
      <c r="G119" s="40">
        <f>'Non OECD total 2018'!$E13/IF(('Non OECD total 2018'!$L13-'Non OECD total 2018'!$J13-'Non OECD total 2018'!$K13-'Non OECD total 2018'!$G13-'Non OECD total 2018'!$H13)=0,1,('Non OECD total 2018'!$L13-'Non OECD total 2018'!$J13-'Non OECD total 2018'!$K13-'Non OECD total 2018'!$G13-'Non OECD total 2018'!$H13))</f>
        <v>0.25889368069522889</v>
      </c>
      <c r="H119" s="77">
        <f t="shared" si="1"/>
        <v>0.25889368069522889</v>
      </c>
      <c r="I119" s="77">
        <f t="shared" si="1"/>
        <v>0.25889368069522889</v>
      </c>
    </row>
    <row r="120" spans="1:11" x14ac:dyDescent="0.35">
      <c r="A120" s="30" t="s">
        <v>180</v>
      </c>
      <c r="B120" s="40">
        <f>'Non OECD total 1995'!$F13/IF(('Non OECD total 1995'!$L13-'Non OECD total 1995'!$J13-'Non OECD total 1995'!$K13-'Non OECD total 1995'!$G13-'Non OECD total 1995'!$H13)=0,1,('Non OECD total 1995'!$L13-'Non OECD total 1995'!$J13-'Non OECD total 1995'!$K13-'Non OECD total 1995'!$G13-'Non OECD total 1995'!$H13))</f>
        <v>1.1322593590552084E-3</v>
      </c>
      <c r="C120" s="40">
        <f>'Non OECD total 2000'!$F13/IF(('Non OECD total 2000'!$L13-'Non OECD total 2000'!$J13-'Non OECD total 2000'!$K13-'Non OECD total 2000'!$G13-'Non OECD total 2000'!$H13)=0,1,('Non OECD total 2000'!$L13-'Non OECD total 2000'!$J13-'Non OECD total 2000'!$K13-'Non OECD total 2000'!$G13-'Non OECD total 2000'!$H13))</f>
        <v>1.3486976175478898E-3</v>
      </c>
      <c r="D120" s="40">
        <f>'Non OECD total 2005'!$F13/IF(('Non OECD total 2005'!$L13-'Non OECD total 2005'!$J13-'Non OECD total 2005'!$K13-'Non OECD total 2005'!$G13-'Non OECD total 2005'!$H13)=0,1,('Non OECD total 2005'!$L13-'Non OECD total 2005'!$J13-'Non OECD total 2005'!$K13-'Non OECD total 2005'!$G13-'Non OECD total 2005'!$H13))</f>
        <v>5.5916793042081283E-4</v>
      </c>
      <c r="E120" s="40">
        <f>'Non OECD total 2010'!$F13/IF(('Non OECD total 2010'!$L13-'Non OECD total 2010'!$J13-'Non OECD total 2010'!$K13-'Non OECD total 2010'!$G13-'Non OECD total 2010'!$H13)=0,1,('Non OECD total 2010'!$L13-'Non OECD total 2010'!$J13-'Non OECD total 2010'!$K13-'Non OECD total 2010'!$G13-'Non OECD total 2010'!$H13))</f>
        <v>7.6473312998715252E-4</v>
      </c>
      <c r="F120" s="40">
        <f>'Non OECD total 2015'!$F13/IF(('Non OECD total 2015'!$L13-'Non OECD total 2015'!$J13-'Non OECD total 2015'!$K13-'Non OECD total 2015'!$G13-'Non OECD total 2015'!$H13)=0,1,('Non OECD total 2015'!$L13-'Non OECD total 2015'!$J13-'Non OECD total 2015'!$K13-'Non OECD total 2015'!$G13-'Non OECD total 2015'!$H13))</f>
        <v>6.4863888996350599E-4</v>
      </c>
      <c r="G120" s="40">
        <f>'Non OECD total 2018'!$F13/IF(('Non OECD total 2018'!$L13-'Non OECD total 2018'!$J13-'Non OECD total 2018'!$K13-'Non OECD total 2018'!$G13-'Non OECD total 2018'!$H13)=0,1,('Non OECD total 2018'!$L13-'Non OECD total 2018'!$J13-'Non OECD total 2018'!$K13-'Non OECD total 2018'!$G13-'Non OECD total 2018'!$H13))</f>
        <v>5.9900867615531137E-4</v>
      </c>
      <c r="H120" s="77">
        <f t="shared" si="1"/>
        <v>5.9900867615531137E-4</v>
      </c>
      <c r="I120" s="77">
        <f t="shared" si="1"/>
        <v>5.9900867615531137E-4</v>
      </c>
    </row>
    <row r="121" spans="1:11" x14ac:dyDescent="0.35">
      <c r="A121" s="30" t="s">
        <v>146</v>
      </c>
      <c r="B121" s="40">
        <f>'Non OECD total 1995'!$I13/IF(('Non OECD total 1995'!$L13-'Non OECD total 1995'!$J13-'Non OECD total 1995'!$K13-'Non OECD total 1995'!$G13-'Non OECD total 1995'!$H13)=0,1,('Non OECD total 1995'!$L13-'Non OECD total 1995'!$J13-'Non OECD total 1995'!$K13-'Non OECD total 1995'!$G13-'Non OECD total 1995'!$H13))</f>
        <v>9.0974889640543493E-3</v>
      </c>
      <c r="C121" s="40">
        <f>'Non OECD total 2000'!$I13/IF(('Non OECD total 2000'!$L13-'Non OECD total 2000'!$J13-'Non OECD total 2000'!$K13-'Non OECD total 2000'!$G13-'Non OECD total 2000'!$H13)=0,1,('Non OECD total 2000'!$L13-'Non OECD total 2000'!$J13-'Non OECD total 2000'!$K13-'Non OECD total 2000'!$G13-'Non OECD total 2000'!$H13))</f>
        <v>1.203082737411538E-2</v>
      </c>
      <c r="D121" s="40">
        <f>'Non OECD total 2005'!$I13/IF(('Non OECD total 2005'!$L13-'Non OECD total 2005'!$J13-'Non OECD total 2005'!$K13-'Non OECD total 2005'!$G13-'Non OECD total 2005'!$H13)=0,1,('Non OECD total 2005'!$L13-'Non OECD total 2005'!$J13-'Non OECD total 2005'!$K13-'Non OECD total 2005'!$G13-'Non OECD total 2005'!$H13))</f>
        <v>9.5976068305046007E-3</v>
      </c>
      <c r="E121" s="40">
        <f>'Non OECD total 2010'!$I13/IF(('Non OECD total 2010'!$L13-'Non OECD total 2010'!$J13-'Non OECD total 2010'!$K13-'Non OECD total 2010'!$G13-'Non OECD total 2010'!$H13)=0,1,('Non OECD total 2010'!$L13-'Non OECD total 2010'!$J13-'Non OECD total 2010'!$K13-'Non OECD total 2010'!$G13-'Non OECD total 2010'!$H13))</f>
        <v>1.3677798267770214E-2</v>
      </c>
      <c r="F121" s="40">
        <f>'Non OECD total 2015'!$I13/IF(('Non OECD total 2015'!$L13-'Non OECD total 2015'!$J13-'Non OECD total 2015'!$K13-'Non OECD total 2015'!$G13-'Non OECD total 2015'!$H13)=0,1,('Non OECD total 2015'!$L13-'Non OECD total 2015'!$J13-'Non OECD total 2015'!$K13-'Non OECD total 2015'!$G13-'Non OECD total 2015'!$H13))</f>
        <v>1.7189575354301264E-2</v>
      </c>
      <c r="G121" s="40">
        <f>'Non OECD total 2018'!$I13/IF(('Non OECD total 2018'!$L13-'Non OECD total 2018'!$J13-'Non OECD total 2018'!$K13-'Non OECD total 2018'!$G13-'Non OECD total 2018'!$H13)=0,1,('Non OECD total 2018'!$L13-'Non OECD total 2018'!$J13-'Non OECD total 2018'!$K13-'Non OECD total 2018'!$G13-'Non OECD total 2018'!$H13))</f>
        <v>1.7061092965909776E-2</v>
      </c>
      <c r="H121" s="77">
        <f t="shared" si="1"/>
        <v>1.7061092965909776E-2</v>
      </c>
      <c r="I121" s="77">
        <f t="shared" si="1"/>
        <v>1.7061092965909776E-2</v>
      </c>
    </row>
    <row r="122" spans="1:11" x14ac:dyDescent="0.35">
      <c r="A122" s="32" t="s">
        <v>182</v>
      </c>
      <c r="B122" s="82"/>
      <c r="C122" s="82"/>
      <c r="D122" s="82"/>
      <c r="E122" s="82"/>
      <c r="F122" s="82"/>
      <c r="G122" s="82"/>
      <c r="H122" s="42"/>
      <c r="I122" s="42"/>
    </row>
    <row r="123" spans="1:11" x14ac:dyDescent="0.35">
      <c r="A123" s="30" t="s">
        <v>141</v>
      </c>
      <c r="B123" s="40">
        <f>'Non OECD total 1995'!$B14/IF(('Non OECD total 1995'!$L14-'Non OECD total 1995'!$J14-'Non OECD total 1995'!$K14-'Non OECD total 1995'!$G14-'Non OECD total 1995'!$H14)=0,1,('Non OECD total 1995'!$L14-'Non OECD total 1995'!$J14-'Non OECD total 1995'!$K14-'Non OECD total 1995'!$G14-'Non OECD total 1995'!$H14))</f>
        <v>0.2943435356320791</v>
      </c>
      <c r="C123" s="40">
        <f>'Non OECD total 2000'!$B14/IF(('Non OECD total 2000'!$L14-'Non OECD total 2000'!$J14-'Non OECD total 2000'!$K14-'Non OECD total 2000'!$G14-'Non OECD total 2000'!$H14)=0,1,('Non OECD total 2000'!$L14-'Non OECD total 2000'!$J14-'Non OECD total 2000'!$K14-'Non OECD total 2000'!$G14-'Non OECD total 2000'!$H14))</f>
        <v>0.35935911792574726</v>
      </c>
      <c r="D123" s="40">
        <f>'Non OECD total 2005'!$B14/IF(('Non OECD total 2005'!$L14-'Non OECD total 2005'!$J14-'Non OECD total 2005'!$K14-'Non OECD total 2005'!$G14-'Non OECD total 2005'!$H14)=0,1,('Non OECD total 2005'!$L14-'Non OECD total 2005'!$J14-'Non OECD total 2005'!$K14-'Non OECD total 2005'!$G14-'Non OECD total 2005'!$H14))</f>
        <v>0.15845173361398585</v>
      </c>
      <c r="E123" s="40">
        <f>'Non OECD total 2010'!$B14/IF(('Non OECD total 2010'!$L14-'Non OECD total 2010'!$J14-'Non OECD total 2010'!$K14-'Non OECD total 2010'!$G14-'Non OECD total 2010'!$H14)=0,1,('Non OECD total 2010'!$L14-'Non OECD total 2010'!$J14-'Non OECD total 2010'!$K14-'Non OECD total 2010'!$G14-'Non OECD total 2010'!$H14))</f>
        <v>0.18496913212809743</v>
      </c>
      <c r="F123" s="40">
        <f>'Non OECD total 2015'!$B14/IF(('Non OECD total 2015'!$L14-'Non OECD total 2015'!$J14-'Non OECD total 2015'!$K14-'Non OECD total 2015'!$G14-'Non OECD total 2015'!$H14)=0,1,('Non OECD total 2015'!$L14-'Non OECD total 2015'!$J14-'Non OECD total 2015'!$K14-'Non OECD total 2015'!$G14-'Non OECD total 2015'!$H14))</f>
        <v>0.22677263657745428</v>
      </c>
      <c r="G123" s="40">
        <f>'Non OECD total 2018'!$B14/IF(('Non OECD total 2018'!$L14-'Non OECD total 2018'!$J14-'Non OECD total 2018'!$K14-'Non OECD total 2018'!$G14-'Non OECD total 2018'!$H14)=0,1,('Non OECD total 2018'!$L14-'Non OECD total 2018'!$J14-'Non OECD total 2018'!$K14-'Non OECD total 2018'!$G14-'Non OECD total 2018'!$H14))</f>
        <v>0.23878989962140948</v>
      </c>
      <c r="H123" s="77">
        <f t="shared" si="1"/>
        <v>0.23878989962140948</v>
      </c>
      <c r="I123" s="77">
        <f t="shared" si="1"/>
        <v>0.23878989962140948</v>
      </c>
    </row>
    <row r="124" spans="1:11" x14ac:dyDescent="0.35">
      <c r="A124" s="30" t="s">
        <v>142</v>
      </c>
      <c r="B124" s="40">
        <f>'Non OECD total 1995'!$C14/IF(('Non OECD total 1995'!$L14-'Non OECD total 1995'!$J14-'Non OECD total 1995'!$K14-'Non OECD total 1995'!$G14-'Non OECD total 1995'!$H14)=0,1,('Non OECD total 1995'!$L14-'Non OECD total 1995'!$J14-'Non OECD total 1995'!$K14-'Non OECD total 1995'!$G14-'Non OECD total 1995'!$H14))</f>
        <v>2.5638688210761411E-4</v>
      </c>
      <c r="C124" s="40">
        <f>'Non OECD total 2000'!$C14/IF(('Non OECD total 2000'!$L14-'Non OECD total 2000'!$J14-'Non OECD total 2000'!$K14-'Non OECD total 2000'!$G14-'Non OECD total 2000'!$H14)=0,1,('Non OECD total 2000'!$L14-'Non OECD total 2000'!$J14-'Non OECD total 2000'!$K14-'Non OECD total 2000'!$G14-'Non OECD total 2000'!$H14))</f>
        <v>6.5409021736009421E-3</v>
      </c>
      <c r="D124" s="40">
        <f>'Non OECD total 2005'!$C14/IF(('Non OECD total 2005'!$L14-'Non OECD total 2005'!$J14-'Non OECD total 2005'!$K14-'Non OECD total 2005'!$G14-'Non OECD total 2005'!$H14)=0,1,('Non OECD total 2005'!$L14-'Non OECD total 2005'!$J14-'Non OECD total 2005'!$K14-'Non OECD total 2005'!$G14-'Non OECD total 2005'!$H14))</f>
        <v>6.615380760267622E-3</v>
      </c>
      <c r="E124" s="40">
        <f>'Non OECD total 2010'!$C14/IF(('Non OECD total 2010'!$L14-'Non OECD total 2010'!$J14-'Non OECD total 2010'!$K14-'Non OECD total 2010'!$G14-'Non OECD total 2010'!$H14)=0,1,('Non OECD total 2010'!$L14-'Non OECD total 2010'!$J14-'Non OECD total 2010'!$K14-'Non OECD total 2010'!$G14-'Non OECD total 2010'!$H14))</f>
        <v>6.8793686967465436E-3</v>
      </c>
      <c r="F124" s="40">
        <f>'Non OECD total 2015'!$C14/IF(('Non OECD total 2015'!$L14-'Non OECD total 2015'!$J14-'Non OECD total 2015'!$K14-'Non OECD total 2015'!$G14-'Non OECD total 2015'!$H14)=0,1,('Non OECD total 2015'!$L14-'Non OECD total 2015'!$J14-'Non OECD total 2015'!$K14-'Non OECD total 2015'!$G14-'Non OECD total 2015'!$H14))</f>
        <v>7.290075910423471E-3</v>
      </c>
      <c r="G124" s="40">
        <f>'Non OECD total 2018'!$C14/IF(('Non OECD total 2018'!$L14-'Non OECD total 2018'!$J14-'Non OECD total 2018'!$K14-'Non OECD total 2018'!$G14-'Non OECD total 2018'!$H14)=0,1,('Non OECD total 2018'!$L14-'Non OECD total 2018'!$J14-'Non OECD total 2018'!$K14-'Non OECD total 2018'!$G14-'Non OECD total 2018'!$H14))</f>
        <v>5.4762483646509904E-3</v>
      </c>
      <c r="H124" s="77">
        <f t="shared" si="1"/>
        <v>5.4762483646509904E-3</v>
      </c>
      <c r="I124" s="77">
        <f t="shared" si="1"/>
        <v>5.4762483646509904E-3</v>
      </c>
    </row>
    <row r="125" spans="1:11" x14ac:dyDescent="0.35">
      <c r="A125" s="30" t="s">
        <v>143</v>
      </c>
      <c r="B125" s="40">
        <f>'Non OECD total 1995'!$D14/IF(('Non OECD total 1995'!$L14-'Non OECD total 1995'!$J14-'Non OECD total 1995'!$K14-'Non OECD total 1995'!$G14-'Non OECD total 1995'!$H14)=0,1,('Non OECD total 1995'!$L14-'Non OECD total 1995'!$J14-'Non OECD total 1995'!$K14-'Non OECD total 1995'!$G14-'Non OECD total 1995'!$H14))</f>
        <v>0.17037762938991316</v>
      </c>
      <c r="C125" s="40">
        <f>'Non OECD total 2000'!$D14/IF(('Non OECD total 2000'!$L14-'Non OECD total 2000'!$J14-'Non OECD total 2000'!$K14-'Non OECD total 2000'!$G14-'Non OECD total 2000'!$H14)=0,1,('Non OECD total 2000'!$L14-'Non OECD total 2000'!$J14-'Non OECD total 2000'!$K14-'Non OECD total 2000'!$G14-'Non OECD total 2000'!$H14))</f>
        <v>9.8262842047836446E-2</v>
      </c>
      <c r="D125" s="40">
        <f>'Non OECD total 2005'!$D14/IF(('Non OECD total 2005'!$L14-'Non OECD total 2005'!$J14-'Non OECD total 2005'!$K14-'Non OECD total 2005'!$G14-'Non OECD total 2005'!$H14)=0,1,('Non OECD total 2005'!$L14-'Non OECD total 2005'!$J14-'Non OECD total 2005'!$K14-'Non OECD total 2005'!$G14-'Non OECD total 2005'!$H14))</f>
        <v>0.10158618788683689</v>
      </c>
      <c r="E125" s="40">
        <f>'Non OECD total 2010'!$D14/IF(('Non OECD total 2010'!$L14-'Non OECD total 2010'!$J14-'Non OECD total 2010'!$K14-'Non OECD total 2010'!$G14-'Non OECD total 2010'!$H14)=0,1,('Non OECD total 2010'!$L14-'Non OECD total 2010'!$J14-'Non OECD total 2010'!$K14-'Non OECD total 2010'!$G14-'Non OECD total 2010'!$H14))</f>
        <v>0.11175360125172197</v>
      </c>
      <c r="F125" s="40">
        <f>'Non OECD total 2015'!$D14/IF(('Non OECD total 2015'!$L14-'Non OECD total 2015'!$J14-'Non OECD total 2015'!$K14-'Non OECD total 2015'!$G14-'Non OECD total 2015'!$H14)=0,1,('Non OECD total 2015'!$L14-'Non OECD total 2015'!$J14-'Non OECD total 2015'!$K14-'Non OECD total 2015'!$G14-'Non OECD total 2015'!$H14))</f>
        <v>0.11734346958566953</v>
      </c>
      <c r="G125" s="40">
        <f>'Non OECD total 2018'!$D14/IF(('Non OECD total 2018'!$L14-'Non OECD total 2018'!$J14-'Non OECD total 2018'!$K14-'Non OECD total 2018'!$G14-'Non OECD total 2018'!$H14)=0,1,('Non OECD total 2018'!$L14-'Non OECD total 2018'!$J14-'Non OECD total 2018'!$K14-'Non OECD total 2018'!$G14-'Non OECD total 2018'!$H14))</f>
        <v>0.10403714123626596</v>
      </c>
      <c r="H125" s="77">
        <f t="shared" si="1"/>
        <v>0.10403714123626596</v>
      </c>
      <c r="I125" s="77">
        <f t="shared" si="1"/>
        <v>0.10403714123626596</v>
      </c>
    </row>
    <row r="126" spans="1:11" x14ac:dyDescent="0.35">
      <c r="A126" s="30" t="s">
        <v>241</v>
      </c>
      <c r="B126" s="40">
        <f>'Non OECD total 1995'!$E14/IF(('Non OECD total 1995'!$L14-'Non OECD total 1995'!$J14-'Non OECD total 1995'!$K14-'Non OECD total 1995'!$G14-'Non OECD total 1995'!$H14)=0,1,('Non OECD total 1995'!$L14-'Non OECD total 1995'!$J14-'Non OECD total 1995'!$K14-'Non OECD total 1995'!$G14-'Non OECD total 1995'!$H14))</f>
        <v>0.51798696415141643</v>
      </c>
      <c r="C126" s="40">
        <f>'Non OECD total 2000'!$E14/IF(('Non OECD total 2000'!$L14-'Non OECD total 2000'!$J14-'Non OECD total 2000'!$K14-'Non OECD total 2000'!$G14-'Non OECD total 2000'!$H14)=0,1,('Non OECD total 2000'!$L14-'Non OECD total 2000'!$J14-'Non OECD total 2000'!$K14-'Non OECD total 2000'!$G14-'Non OECD total 2000'!$H14))</f>
        <v>0.51940735636144375</v>
      </c>
      <c r="D126" s="40">
        <f>'Non OECD total 2005'!$E14/IF(('Non OECD total 2005'!$L14-'Non OECD total 2005'!$J14-'Non OECD total 2005'!$K14-'Non OECD total 2005'!$G14-'Non OECD total 2005'!$H14)=0,1,('Non OECD total 2005'!$L14-'Non OECD total 2005'!$J14-'Non OECD total 2005'!$K14-'Non OECD total 2005'!$G14-'Non OECD total 2005'!$H14))</f>
        <v>0.70639236224221313</v>
      </c>
      <c r="E126" s="40">
        <f>'Non OECD total 2010'!$E14/IF(('Non OECD total 2010'!$L14-'Non OECD total 2010'!$J14-'Non OECD total 2010'!$K14-'Non OECD total 2010'!$G14-'Non OECD total 2010'!$H14)=0,1,('Non OECD total 2010'!$L14-'Non OECD total 2010'!$J14-'Non OECD total 2010'!$K14-'Non OECD total 2010'!$G14-'Non OECD total 2010'!$H14))</f>
        <v>0.65959455092773689</v>
      </c>
      <c r="F126" s="40">
        <f>'Non OECD total 2015'!$E14/IF(('Non OECD total 2015'!$L14-'Non OECD total 2015'!$J14-'Non OECD total 2015'!$K14-'Non OECD total 2015'!$G14-'Non OECD total 2015'!$H14)=0,1,('Non OECD total 2015'!$L14-'Non OECD total 2015'!$J14-'Non OECD total 2015'!$K14-'Non OECD total 2015'!$G14-'Non OECD total 2015'!$H14))</f>
        <v>0.59951399493930513</v>
      </c>
      <c r="G126" s="40">
        <f>'Non OECD total 2018'!$E14/IF(('Non OECD total 2018'!$L14-'Non OECD total 2018'!$J14-'Non OECD total 2018'!$K14-'Non OECD total 2018'!$G14-'Non OECD total 2018'!$H14)=0,1,('Non OECD total 2018'!$L14-'Non OECD total 2018'!$J14-'Non OECD total 2018'!$K14-'Non OECD total 2018'!$G14-'Non OECD total 2018'!$H14))</f>
        <v>0.59577645792087808</v>
      </c>
      <c r="H126" s="89">
        <f>1-H123-H124-H125-H127-H128</f>
        <v>0.59578803561298088</v>
      </c>
      <c r="I126" s="89">
        <f>1-I123-I124-I125-I127-I128</f>
        <v>0.59578803561298088</v>
      </c>
    </row>
    <row r="127" spans="1:11" x14ac:dyDescent="0.35">
      <c r="A127" s="30" t="s">
        <v>180</v>
      </c>
      <c r="B127" s="40">
        <f>'Non OECD total 1995'!$F14/IF(('Non OECD total 1995'!$L14-'Non OECD total 1995'!$J14-'Non OECD total 1995'!$K14-'Non OECD total 1995'!$G14-'Non OECD total 1995'!$H14)=0,1,('Non OECD total 1995'!$L14-'Non OECD total 1995'!$J14-'Non OECD total 1995'!$K14-'Non OECD total 1995'!$G14-'Non OECD total 1995'!$H14))</f>
        <v>0</v>
      </c>
      <c r="C127" s="40">
        <f>'Non OECD total 2000'!$F14/IF(('Non OECD total 2000'!$L14-'Non OECD total 2000'!$J14-'Non OECD total 2000'!$K14-'Non OECD total 2000'!$G14-'Non OECD total 2000'!$H14)=0,1,('Non OECD total 2000'!$L14-'Non OECD total 2000'!$J14-'Non OECD total 2000'!$K14-'Non OECD total 2000'!$G14-'Non OECD total 2000'!$H14))</f>
        <v>0</v>
      </c>
      <c r="D127" s="40">
        <f>'Non OECD total 2005'!$F14/IF(('Non OECD total 2005'!$L14-'Non OECD total 2005'!$J14-'Non OECD total 2005'!$K14-'Non OECD total 2005'!$G14-'Non OECD total 2005'!$H14)=0,1,('Non OECD total 2005'!$L14-'Non OECD total 2005'!$J14-'Non OECD total 2005'!$K14-'Non OECD total 2005'!$G14-'Non OECD total 2005'!$H14))</f>
        <v>0</v>
      </c>
      <c r="E127" s="40">
        <f>'Non OECD total 2010'!$F14/IF(('Non OECD total 2010'!$L14-'Non OECD total 2010'!$J14-'Non OECD total 2010'!$K14-'Non OECD total 2010'!$G14-'Non OECD total 2010'!$H14)=0,1,('Non OECD total 2010'!$L14-'Non OECD total 2010'!$J14-'Non OECD total 2010'!$K14-'Non OECD total 2010'!$G14-'Non OECD total 2010'!$H14))</f>
        <v>0</v>
      </c>
      <c r="F127" s="40">
        <f>'Non OECD total 2015'!$F14/IF(('Non OECD total 2015'!$L14-'Non OECD total 2015'!$J14-'Non OECD total 2015'!$K14-'Non OECD total 2015'!$G14-'Non OECD total 2015'!$H14)=0,1,('Non OECD total 2015'!$L14-'Non OECD total 2015'!$J14-'Non OECD total 2015'!$K14-'Non OECD total 2015'!$G14-'Non OECD total 2015'!$H14))</f>
        <v>0</v>
      </c>
      <c r="G127" s="40">
        <f>'Non OECD total 2018'!$F14/IF(('Non OECD total 2018'!$L14-'Non OECD total 2018'!$J14-'Non OECD total 2018'!$K14-'Non OECD total 2018'!$G14-'Non OECD total 2018'!$H14)=0,1,('Non OECD total 2018'!$L14-'Non OECD total 2018'!$J14-'Non OECD total 2018'!$K14-'Non OECD total 2018'!$G14-'Non OECD total 2018'!$H14))</f>
        <v>0</v>
      </c>
      <c r="H127" s="77">
        <f t="shared" si="1"/>
        <v>0</v>
      </c>
      <c r="I127" s="77">
        <f t="shared" si="1"/>
        <v>0</v>
      </c>
      <c r="K127" s="7"/>
    </row>
    <row r="128" spans="1:11" x14ac:dyDescent="0.35">
      <c r="A128" s="30" t="s">
        <v>146</v>
      </c>
      <c r="B128" s="40">
        <f>'Non OECD total 1995'!$I14/IF(('Non OECD total 1995'!$L14-'Non OECD total 1995'!$J14-'Non OECD total 1995'!$K14-'Non OECD total 1995'!$G14-'Non OECD total 1995'!$H14)=0,1,('Non OECD total 1995'!$L14-'Non OECD total 1995'!$J14-'Non OECD total 1995'!$K14-'Non OECD total 1995'!$G14-'Non OECD total 1995'!$H14))</f>
        <v>1.7035483944483693E-2</v>
      </c>
      <c r="C128" s="40">
        <f>'Non OECD total 2000'!$I14/IF(('Non OECD total 2000'!$L14-'Non OECD total 2000'!$J14-'Non OECD total 2000'!$K14-'Non OECD total 2000'!$G14-'Non OECD total 2000'!$H14)=0,1,('Non OECD total 2000'!$L14-'Non OECD total 2000'!$J14-'Non OECD total 2000'!$K14-'Non OECD total 2000'!$G14-'Non OECD total 2000'!$H14))</f>
        <v>1.6424038820455393E-2</v>
      </c>
      <c r="D128" s="40">
        <f>'Non OECD total 2005'!$I14/IF(('Non OECD total 2005'!$L14-'Non OECD total 2005'!$J14-'Non OECD total 2005'!$K14-'Non OECD total 2005'!$G14-'Non OECD total 2005'!$H14)=0,1,('Non OECD total 2005'!$L14-'Non OECD total 2005'!$J14-'Non OECD total 2005'!$K14-'Non OECD total 2005'!$G14-'Non OECD total 2005'!$H14))</f>
        <v>2.697104100366686E-2</v>
      </c>
      <c r="E128" s="40">
        <f>'Non OECD total 2010'!$I14/IF(('Non OECD total 2010'!$L14-'Non OECD total 2010'!$J14-'Non OECD total 2010'!$K14-'Non OECD total 2010'!$G14-'Non OECD total 2010'!$H14)=0,1,('Non OECD total 2010'!$L14-'Non OECD total 2010'!$J14-'Non OECD total 2010'!$K14-'Non OECD total 2010'!$G14-'Non OECD total 2010'!$H14))</f>
        <v>3.6811850541675878E-2</v>
      </c>
      <c r="F128" s="40">
        <f>'Non OECD total 2015'!$I14/IF(('Non OECD total 2015'!$L14-'Non OECD total 2015'!$J14-'Non OECD total 2015'!$K14-'Non OECD total 2015'!$G14-'Non OECD total 2015'!$H14)=0,1,('Non OECD total 2015'!$L14-'Non OECD total 2015'!$J14-'Non OECD total 2015'!$K14-'Non OECD total 2015'!$G14-'Non OECD total 2015'!$H14))</f>
        <v>4.9079822987147616E-2</v>
      </c>
      <c r="G128" s="40">
        <f>'Non OECD total 2018'!$I14/IF(('Non OECD total 2018'!$L14-'Non OECD total 2018'!$J14-'Non OECD total 2018'!$K14-'Non OECD total 2018'!$G14-'Non OECD total 2018'!$H14)=0,1,('Non OECD total 2018'!$L14-'Non OECD total 2018'!$J14-'Non OECD total 2018'!$K14-'Non OECD total 2018'!$G14-'Non OECD total 2018'!$H14))</f>
        <v>5.5908675164692667E-2</v>
      </c>
      <c r="H128" s="77">
        <f t="shared" si="1"/>
        <v>5.5908675164692667E-2</v>
      </c>
      <c r="I128" s="77">
        <f t="shared" si="1"/>
        <v>5.5908675164692667E-2</v>
      </c>
    </row>
    <row r="129" spans="1:9" x14ac:dyDescent="0.35">
      <c r="A129" s="32" t="s">
        <v>183</v>
      </c>
      <c r="B129" s="82"/>
      <c r="C129" s="82"/>
      <c r="D129" s="82"/>
      <c r="E129" s="82"/>
      <c r="F129" s="82"/>
      <c r="G129" s="82"/>
      <c r="H129" s="42"/>
      <c r="I129" s="42"/>
    </row>
    <row r="130" spans="1:9" x14ac:dyDescent="0.35">
      <c r="A130" s="30" t="s">
        <v>142</v>
      </c>
      <c r="B130" s="40">
        <v>1</v>
      </c>
      <c r="C130" s="40">
        <v>1</v>
      </c>
      <c r="D130" s="40">
        <v>1</v>
      </c>
      <c r="E130" s="40">
        <v>1</v>
      </c>
      <c r="F130" s="40">
        <v>1</v>
      </c>
      <c r="G130" s="40">
        <v>1</v>
      </c>
      <c r="H130" s="89">
        <f>1-H131</f>
        <v>1</v>
      </c>
      <c r="I130" s="89">
        <f>1-I131</f>
        <v>1</v>
      </c>
    </row>
    <row r="131" spans="1:9" x14ac:dyDescent="0.35">
      <c r="A131" s="30" t="s">
        <v>146</v>
      </c>
      <c r="B131" s="40">
        <v>0</v>
      </c>
      <c r="C131" s="40">
        <v>0</v>
      </c>
      <c r="D131" s="40">
        <v>0</v>
      </c>
      <c r="E131" s="40">
        <v>0</v>
      </c>
      <c r="F131" s="40">
        <v>0</v>
      </c>
      <c r="G131" s="40">
        <v>0</v>
      </c>
      <c r="H131" s="77">
        <f t="shared" si="1"/>
        <v>0</v>
      </c>
      <c r="I131" s="77">
        <f t="shared" si="1"/>
        <v>0</v>
      </c>
    </row>
    <row r="132" spans="1:9" x14ac:dyDescent="0.35">
      <c r="A132" s="30"/>
      <c r="B132" s="40">
        <v>0</v>
      </c>
      <c r="C132" s="40">
        <v>0</v>
      </c>
      <c r="D132" s="40">
        <v>0</v>
      </c>
      <c r="E132" s="40">
        <v>0</v>
      </c>
      <c r="F132" s="40">
        <v>0</v>
      </c>
      <c r="G132" s="40">
        <v>0</v>
      </c>
      <c r="H132" s="77">
        <f t="shared" si="1"/>
        <v>0</v>
      </c>
      <c r="I132" s="77">
        <f t="shared" si="1"/>
        <v>0</v>
      </c>
    </row>
    <row r="133" spans="1:9" x14ac:dyDescent="0.35">
      <c r="A133" s="32" t="s">
        <v>184</v>
      </c>
      <c r="B133" s="42"/>
      <c r="C133" s="42"/>
      <c r="D133" s="42"/>
      <c r="E133" s="42"/>
      <c r="F133" s="42"/>
      <c r="G133" s="42"/>
      <c r="H133" s="42"/>
      <c r="I133" s="42"/>
    </row>
    <row r="134" spans="1:9" x14ac:dyDescent="0.35">
      <c r="A134" s="30" t="s">
        <v>185</v>
      </c>
      <c r="H134" s="77">
        <v>0</v>
      </c>
      <c r="I134" s="77">
        <v>0</v>
      </c>
    </row>
    <row r="135" spans="1:9" x14ac:dyDescent="0.35">
      <c r="A135" s="30" t="s">
        <v>186</v>
      </c>
      <c r="H135" s="77">
        <v>0</v>
      </c>
      <c r="I135" s="77">
        <v>0</v>
      </c>
    </row>
    <row r="136" spans="1:9" x14ac:dyDescent="0.35">
      <c r="A136" s="30" t="s">
        <v>245</v>
      </c>
      <c r="H136" s="77">
        <v>0</v>
      </c>
      <c r="I136" s="77">
        <v>0</v>
      </c>
    </row>
    <row r="137" spans="1:9" x14ac:dyDescent="0.35">
      <c r="A137" s="30" t="s">
        <v>188</v>
      </c>
      <c r="H137" s="77">
        <v>0</v>
      </c>
      <c r="I137" s="77">
        <v>0</v>
      </c>
    </row>
    <row r="138" spans="1:9" x14ac:dyDescent="0.35">
      <c r="A138" s="32" t="s">
        <v>189</v>
      </c>
      <c r="B138" s="42"/>
      <c r="C138" s="42"/>
      <c r="D138" s="42"/>
      <c r="E138" s="42"/>
      <c r="F138" s="42"/>
      <c r="G138" s="42"/>
      <c r="H138" s="42"/>
      <c r="I138" s="42"/>
    </row>
    <row r="139" spans="1:9" x14ac:dyDescent="0.35">
      <c r="A139" s="30" t="s">
        <v>190</v>
      </c>
      <c r="G139" s="94">
        <v>0.8</v>
      </c>
      <c r="H139" s="93">
        <f>G139</f>
        <v>0.8</v>
      </c>
      <c r="I139" s="77">
        <f t="shared" ref="I139:I142" si="5">H139</f>
        <v>0.8</v>
      </c>
    </row>
    <row r="140" spans="1:9" x14ac:dyDescent="0.35">
      <c r="A140" s="30" t="s">
        <v>191</v>
      </c>
      <c r="G140" s="94">
        <v>0.3</v>
      </c>
      <c r="H140" s="93">
        <f t="shared" ref="H140:H142" si="6">G140</f>
        <v>0.3</v>
      </c>
      <c r="I140" s="77">
        <f t="shared" si="5"/>
        <v>0.3</v>
      </c>
    </row>
    <row r="141" spans="1:9" x14ac:dyDescent="0.35">
      <c r="A141" s="30" t="s">
        <v>192</v>
      </c>
      <c r="G141" s="94">
        <v>0.95</v>
      </c>
      <c r="H141" s="93">
        <f t="shared" si="6"/>
        <v>0.95</v>
      </c>
      <c r="I141" s="77">
        <f t="shared" si="5"/>
        <v>0.95</v>
      </c>
    </row>
    <row r="142" spans="1:9" x14ac:dyDescent="0.35">
      <c r="A142" s="30" t="s">
        <v>193</v>
      </c>
      <c r="G142" s="94">
        <v>1</v>
      </c>
      <c r="H142" s="93">
        <f t="shared" si="6"/>
        <v>1</v>
      </c>
      <c r="I142" s="77">
        <f t="shared" si="5"/>
        <v>1</v>
      </c>
    </row>
  </sheetData>
  <mergeCells count="1">
    <mergeCell ref="B3:I3"/>
  </mergeCells>
  <pageMargins left="0.7" right="0.7" top="0.75" bottom="0.75" header="0.3" footer="0.3"/>
  <pageSetup paperSize="9" orientation="portrait" horizontalDpi="4294967293" verticalDpi="4294967293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Ark101"/>
  <dimension ref="A1:L32"/>
  <sheetViews>
    <sheetView workbookViewId="0">
      <selection activeCell="C35" sqref="C35"/>
    </sheetView>
  </sheetViews>
  <sheetFormatPr defaultRowHeight="14.5" x14ac:dyDescent="0.35"/>
  <cols>
    <col min="1" max="1" width="30" customWidth="1"/>
    <col min="2" max="2" width="11.54296875" customWidth="1"/>
    <col min="3" max="3" width="12" customWidth="1"/>
    <col min="4" max="4" width="14.54296875" customWidth="1"/>
    <col min="5" max="5" width="14.1796875" customWidth="1"/>
    <col min="8" max="8" width="22.81640625" customWidth="1"/>
    <col min="9" max="9" width="21.81640625" customWidth="1"/>
    <col min="10" max="10" width="13.81640625" customWidth="1"/>
    <col min="11" max="11" width="12.26953125" customWidth="1"/>
    <col min="12" max="12" width="11.81640625" customWidth="1"/>
  </cols>
  <sheetData>
    <row r="1" spans="1:12" x14ac:dyDescent="0.35">
      <c r="B1" t="s">
        <v>214</v>
      </c>
      <c r="C1" t="s">
        <v>2</v>
      </c>
      <c r="D1" t="s">
        <v>215</v>
      </c>
      <c r="E1" t="s">
        <v>216</v>
      </c>
      <c r="F1" t="s">
        <v>5</v>
      </c>
      <c r="G1" t="s">
        <v>6</v>
      </c>
      <c r="H1" t="s">
        <v>217</v>
      </c>
      <c r="I1" t="s">
        <v>8</v>
      </c>
      <c r="J1" t="s">
        <v>9</v>
      </c>
      <c r="K1" t="s">
        <v>10</v>
      </c>
      <c r="L1" t="s">
        <v>218</v>
      </c>
    </row>
    <row r="2" spans="1:12" x14ac:dyDescent="0.35">
      <c r="B2" t="s">
        <v>219</v>
      </c>
      <c r="C2" t="s">
        <v>219</v>
      </c>
      <c r="D2" t="s">
        <v>219</v>
      </c>
      <c r="E2" t="s">
        <v>219</v>
      </c>
      <c r="F2" t="s">
        <v>219</v>
      </c>
      <c r="G2" t="s">
        <v>219</v>
      </c>
      <c r="H2" t="s">
        <v>219</v>
      </c>
      <c r="I2" t="s">
        <v>219</v>
      </c>
      <c r="J2" t="s">
        <v>219</v>
      </c>
      <c r="K2" t="s">
        <v>219</v>
      </c>
      <c r="L2" t="s">
        <v>219</v>
      </c>
    </row>
    <row r="3" spans="1:12" x14ac:dyDescent="0.35">
      <c r="A3" t="s">
        <v>17</v>
      </c>
      <c r="B3" s="7">
        <v>1229063</v>
      </c>
      <c r="C3" s="7">
        <v>2381491</v>
      </c>
      <c r="D3" s="7"/>
      <c r="E3" s="7">
        <v>986813</v>
      </c>
      <c r="F3" s="7">
        <v>69396</v>
      </c>
      <c r="G3" s="7">
        <v>98845</v>
      </c>
      <c r="H3" s="7">
        <v>11882</v>
      </c>
      <c r="I3" s="7">
        <v>795459</v>
      </c>
      <c r="J3" s="7"/>
      <c r="K3" s="7"/>
      <c r="L3" s="7">
        <v>5572950</v>
      </c>
    </row>
    <row r="4" spans="1:12" x14ac:dyDescent="0.35">
      <c r="A4" t="s">
        <v>220</v>
      </c>
      <c r="B4" s="7">
        <v>88089</v>
      </c>
      <c r="C4" s="7">
        <v>349664</v>
      </c>
      <c r="D4" s="7">
        <v>253031</v>
      </c>
      <c r="E4" s="7">
        <v>101140</v>
      </c>
      <c r="F4" s="7"/>
      <c r="G4" s="7"/>
      <c r="H4" s="7"/>
      <c r="I4" s="7">
        <v>1373</v>
      </c>
      <c r="J4" s="7">
        <v>11538</v>
      </c>
      <c r="K4" s="7"/>
      <c r="L4" s="7">
        <v>804835</v>
      </c>
    </row>
    <row r="5" spans="1:12" x14ac:dyDescent="0.35">
      <c r="A5" t="s">
        <v>221</v>
      </c>
      <c r="B5" s="7">
        <v>-130599</v>
      </c>
      <c r="C5" s="7">
        <v>-1353245</v>
      </c>
      <c r="D5" s="7">
        <v>-401573</v>
      </c>
      <c r="E5" s="7">
        <v>-271693</v>
      </c>
      <c r="F5" s="7"/>
      <c r="G5" s="7"/>
      <c r="H5" s="7"/>
      <c r="I5" s="7">
        <v>-631</v>
      </c>
      <c r="J5" s="7">
        <v>-11930</v>
      </c>
      <c r="K5" s="7"/>
      <c r="L5" s="7">
        <v>-2169671</v>
      </c>
    </row>
    <row r="6" spans="1:12" x14ac:dyDescent="0.35">
      <c r="A6" t="s">
        <v>222</v>
      </c>
      <c r="B6" s="7"/>
      <c r="C6" s="7"/>
      <c r="D6" s="7">
        <v>-53296</v>
      </c>
      <c r="E6" s="7"/>
      <c r="F6" s="7"/>
      <c r="G6" s="7"/>
      <c r="H6" s="7"/>
      <c r="I6" s="7"/>
      <c r="J6" s="7"/>
      <c r="K6" s="7"/>
      <c r="L6" s="7">
        <v>-53296</v>
      </c>
    </row>
    <row r="7" spans="1:12" x14ac:dyDescent="0.35">
      <c r="A7" t="s">
        <v>223</v>
      </c>
      <c r="B7" s="7"/>
      <c r="C7" s="7"/>
      <c r="D7" s="7">
        <v>-37968</v>
      </c>
      <c r="E7" s="7"/>
      <c r="F7" s="7"/>
      <c r="G7" s="7"/>
      <c r="H7" s="7"/>
      <c r="I7" s="7"/>
      <c r="J7" s="7"/>
      <c r="K7" s="7"/>
      <c r="L7" s="7">
        <v>-37968</v>
      </c>
    </row>
    <row r="8" spans="1:12" x14ac:dyDescent="0.35">
      <c r="A8" t="s">
        <v>224</v>
      </c>
      <c r="B8" s="7">
        <v>-3032</v>
      </c>
      <c r="C8" s="7">
        <v>-950</v>
      </c>
      <c r="D8" s="7">
        <v>-1141</v>
      </c>
      <c r="E8" s="7">
        <v>-13644</v>
      </c>
      <c r="F8" s="7"/>
      <c r="G8" s="7"/>
      <c r="H8" s="7"/>
      <c r="I8" s="7">
        <v>22</v>
      </c>
      <c r="J8" s="7"/>
      <c r="K8" s="7"/>
      <c r="L8" s="7">
        <v>-18746</v>
      </c>
    </row>
    <row r="9" spans="1:12" x14ac:dyDescent="0.35">
      <c r="A9" t="s">
        <v>225</v>
      </c>
      <c r="B9" s="7">
        <v>1183520</v>
      </c>
      <c r="C9" s="7">
        <v>1376960</v>
      </c>
      <c r="D9" s="7">
        <v>-240946</v>
      </c>
      <c r="E9" s="7">
        <v>802616</v>
      </c>
      <c r="F9" s="7">
        <v>69396</v>
      </c>
      <c r="G9" s="7">
        <v>98845</v>
      </c>
      <c r="H9" s="7">
        <v>11882</v>
      </c>
      <c r="I9" s="7">
        <v>796222</v>
      </c>
      <c r="J9" s="7">
        <v>-392</v>
      </c>
      <c r="K9" s="7"/>
      <c r="L9" s="7">
        <v>4098104</v>
      </c>
    </row>
    <row r="10" spans="1:12" x14ac:dyDescent="0.35">
      <c r="A10" t="s">
        <v>226</v>
      </c>
      <c r="B10" s="7"/>
      <c r="C10" s="7">
        <v>-74960</v>
      </c>
      <c r="D10" s="7">
        <v>79859</v>
      </c>
      <c r="E10" s="7"/>
      <c r="F10" s="7"/>
      <c r="G10" s="7"/>
      <c r="H10" s="7"/>
      <c r="I10" s="7"/>
      <c r="J10" s="7"/>
      <c r="K10" s="7"/>
      <c r="L10" s="7">
        <v>4899</v>
      </c>
    </row>
    <row r="11" spans="1:12" x14ac:dyDescent="0.35">
      <c r="A11" t="s">
        <v>227</v>
      </c>
      <c r="B11" s="7">
        <v>13146</v>
      </c>
      <c r="C11" s="7">
        <v>-8499</v>
      </c>
      <c r="D11" s="7">
        <v>5351</v>
      </c>
      <c r="E11" s="7">
        <v>6045</v>
      </c>
      <c r="F11" s="7"/>
      <c r="G11" s="7"/>
      <c r="H11" s="7">
        <v>-123</v>
      </c>
      <c r="I11" s="7">
        <v>89</v>
      </c>
      <c r="J11" s="7">
        <v>-398</v>
      </c>
      <c r="K11" s="7">
        <v>-213</v>
      </c>
      <c r="L11" s="7">
        <v>15397</v>
      </c>
    </row>
    <row r="12" spans="1:12" x14ac:dyDescent="0.35">
      <c r="A12" t="s">
        <v>228</v>
      </c>
      <c r="B12" s="7">
        <v>-407900</v>
      </c>
      <c r="C12" s="7">
        <v>-21889</v>
      </c>
      <c r="D12" s="7">
        <v>-111641</v>
      </c>
      <c r="E12" s="7">
        <v>-130005</v>
      </c>
      <c r="F12" s="7">
        <v>-69079</v>
      </c>
      <c r="G12" s="7">
        <v>-98845</v>
      </c>
      <c r="H12" s="7">
        <v>-10389</v>
      </c>
      <c r="I12" s="7">
        <v>-2633</v>
      </c>
      <c r="J12" s="7">
        <v>334143</v>
      </c>
      <c r="K12" s="7"/>
      <c r="L12" s="7">
        <v>-518239</v>
      </c>
    </row>
    <row r="13" spans="1:12" x14ac:dyDescent="0.35">
      <c r="A13" t="s">
        <v>66</v>
      </c>
      <c r="B13" s="7">
        <v>-86843</v>
      </c>
      <c r="C13" s="7">
        <v>-392</v>
      </c>
      <c r="D13" s="7">
        <v>-30602</v>
      </c>
      <c r="E13" s="7">
        <v>-158396</v>
      </c>
      <c r="F13" s="7">
        <v>-316</v>
      </c>
      <c r="G13" s="7"/>
      <c r="H13" s="7"/>
      <c r="I13" s="7">
        <v>-2539</v>
      </c>
      <c r="J13" s="7">
        <v>67694</v>
      </c>
      <c r="K13" s="7">
        <v>118863</v>
      </c>
      <c r="L13" s="7">
        <v>-92531</v>
      </c>
    </row>
    <row r="14" spans="1:12" x14ac:dyDescent="0.35">
      <c r="A14" t="s">
        <v>229</v>
      </c>
      <c r="B14" s="7">
        <v>-51662</v>
      </c>
      <c r="C14" s="7">
        <v>-45</v>
      </c>
      <c r="D14" s="7">
        <v>-29904</v>
      </c>
      <c r="E14" s="7">
        <v>-90915</v>
      </c>
      <c r="F14" s="7"/>
      <c r="G14" s="7"/>
      <c r="H14" s="7"/>
      <c r="I14" s="7">
        <v>-2990</v>
      </c>
      <c r="J14" s="7"/>
      <c r="K14" s="7">
        <v>156097</v>
      </c>
      <c r="L14" s="7">
        <v>-19419</v>
      </c>
    </row>
    <row r="15" spans="1:12" x14ac:dyDescent="0.35">
      <c r="A15" t="s">
        <v>230</v>
      </c>
      <c r="B15" s="7">
        <v>-3002</v>
      </c>
      <c r="C15" s="7"/>
      <c r="D15" s="7">
        <v>-1443</v>
      </c>
      <c r="E15" s="7">
        <v>663</v>
      </c>
      <c r="F15" s="7"/>
      <c r="G15" s="7"/>
      <c r="H15" s="7"/>
      <c r="I15" s="7"/>
      <c r="J15" s="7"/>
      <c r="K15" s="7"/>
      <c r="L15" s="7">
        <v>-3783</v>
      </c>
    </row>
    <row r="16" spans="1:12" x14ac:dyDescent="0.35">
      <c r="A16" t="s">
        <v>70</v>
      </c>
      <c r="B16" s="7"/>
      <c r="C16" s="7">
        <v>-1263082</v>
      </c>
      <c r="D16" s="7">
        <v>1221055</v>
      </c>
      <c r="E16" s="7"/>
      <c r="F16" s="7"/>
      <c r="G16" s="7"/>
      <c r="H16" s="7"/>
      <c r="I16" s="7"/>
      <c r="J16" s="7"/>
      <c r="K16" s="7"/>
      <c r="L16" s="7">
        <v>-42026</v>
      </c>
    </row>
    <row r="17" spans="1:12" x14ac:dyDescent="0.35">
      <c r="A17" t="s">
        <v>231</v>
      </c>
      <c r="B17" s="7">
        <v>-84319</v>
      </c>
      <c r="C17" s="7"/>
      <c r="D17" s="7">
        <v>-194</v>
      </c>
      <c r="E17" s="7"/>
      <c r="F17" s="7"/>
      <c r="G17" s="7"/>
      <c r="H17" s="7"/>
      <c r="I17" s="7">
        <v>-44</v>
      </c>
      <c r="J17" s="7"/>
      <c r="K17" s="7"/>
      <c r="L17" s="7">
        <v>-84556</v>
      </c>
    </row>
    <row r="18" spans="1:12" x14ac:dyDescent="0.35">
      <c r="A18" t="s">
        <v>232</v>
      </c>
      <c r="B18" s="7">
        <v>-13936</v>
      </c>
      <c r="C18" s="7">
        <v>7230</v>
      </c>
      <c r="D18" s="7"/>
      <c r="E18" s="7">
        <v>-2513</v>
      </c>
      <c r="F18" s="7"/>
      <c r="G18" s="7"/>
      <c r="H18" s="7"/>
      <c r="I18" s="7"/>
      <c r="J18" s="7"/>
      <c r="K18" s="7"/>
      <c r="L18" s="7">
        <v>-9219</v>
      </c>
    </row>
    <row r="19" spans="1:12" x14ac:dyDescent="0.35">
      <c r="A19" t="s">
        <v>233</v>
      </c>
      <c r="B19" s="7"/>
      <c r="C19" s="7">
        <v>1626</v>
      </c>
      <c r="D19" s="7">
        <v>-1579</v>
      </c>
      <c r="E19" s="7">
        <v>-22</v>
      </c>
      <c r="F19" s="7"/>
      <c r="G19" s="7"/>
      <c r="H19" s="7"/>
      <c r="I19" s="7">
        <v>-49396</v>
      </c>
      <c r="J19" s="7"/>
      <c r="K19" s="7"/>
      <c r="L19" s="7">
        <v>-49371</v>
      </c>
    </row>
    <row r="20" spans="1:12" x14ac:dyDescent="0.35">
      <c r="A20" t="s">
        <v>234</v>
      </c>
      <c r="B20" s="7">
        <v>-34418</v>
      </c>
      <c r="C20" s="7">
        <v>-5239</v>
      </c>
      <c r="D20" s="7">
        <v>-59137</v>
      </c>
      <c r="E20" s="7">
        <v>-70446</v>
      </c>
      <c r="F20" s="7"/>
      <c r="G20" s="7"/>
      <c r="H20" s="7"/>
      <c r="I20" s="7">
        <v>-7271</v>
      </c>
      <c r="J20" s="7">
        <v>-44918</v>
      </c>
      <c r="K20" s="7">
        <v>-22857</v>
      </c>
      <c r="L20" s="7">
        <v>-244286</v>
      </c>
    </row>
    <row r="21" spans="1:12" x14ac:dyDescent="0.35">
      <c r="A21" t="s">
        <v>235</v>
      </c>
      <c r="B21" s="7">
        <v>-8172</v>
      </c>
      <c r="C21" s="7">
        <v>-3657</v>
      </c>
      <c r="D21" s="7">
        <v>-329</v>
      </c>
      <c r="E21" s="7">
        <v>-14909</v>
      </c>
      <c r="F21" s="7"/>
      <c r="G21" s="7"/>
      <c r="H21" s="7">
        <v>-2</v>
      </c>
      <c r="I21" s="7">
        <v>-227</v>
      </c>
      <c r="J21" s="7">
        <v>-46297</v>
      </c>
      <c r="K21" s="7">
        <v>-13917</v>
      </c>
      <c r="L21" s="7">
        <v>-87510</v>
      </c>
    </row>
    <row r="22" spans="1:12" x14ac:dyDescent="0.35">
      <c r="A22" t="s">
        <v>131</v>
      </c>
      <c r="B22" s="7">
        <v>506414</v>
      </c>
      <c r="C22" s="7">
        <v>8053</v>
      </c>
      <c r="D22" s="7">
        <v>830490</v>
      </c>
      <c r="E22" s="7">
        <v>342118</v>
      </c>
      <c r="F22" s="7"/>
      <c r="G22" s="7"/>
      <c r="H22" s="7">
        <v>1369</v>
      </c>
      <c r="I22" s="7">
        <v>731212</v>
      </c>
      <c r="J22" s="7">
        <v>309832</v>
      </c>
      <c r="K22" s="7">
        <v>237973</v>
      </c>
      <c r="L22" s="7">
        <v>2967461</v>
      </c>
    </row>
    <row r="23" spans="1:12" x14ac:dyDescent="0.35">
      <c r="A23" t="s">
        <v>80</v>
      </c>
      <c r="B23" s="7">
        <v>344967</v>
      </c>
      <c r="C23" s="7">
        <v>3976</v>
      </c>
      <c r="D23" s="7">
        <v>142847</v>
      </c>
      <c r="E23" s="7">
        <v>130435</v>
      </c>
      <c r="F23" s="7"/>
      <c r="G23" s="7"/>
      <c r="H23" s="7">
        <v>41</v>
      </c>
      <c r="I23" s="7">
        <v>80956</v>
      </c>
      <c r="J23" s="7">
        <v>155825</v>
      </c>
      <c r="K23" s="7">
        <v>106134</v>
      </c>
      <c r="L23" s="7">
        <v>965181</v>
      </c>
    </row>
    <row r="24" spans="1:12" x14ac:dyDescent="0.35">
      <c r="A24" t="s">
        <v>82</v>
      </c>
      <c r="B24" s="7">
        <v>3130</v>
      </c>
      <c r="C24" s="7">
        <v>10</v>
      </c>
      <c r="D24" s="7">
        <v>389967</v>
      </c>
      <c r="E24" s="7">
        <v>36801</v>
      </c>
      <c r="F24" s="7"/>
      <c r="G24" s="7"/>
      <c r="H24" s="7"/>
      <c r="I24" s="7">
        <v>6888</v>
      </c>
      <c r="J24" s="7">
        <v>9555</v>
      </c>
      <c r="K24" s="7"/>
      <c r="L24" s="7">
        <v>446352</v>
      </c>
    </row>
    <row r="25" spans="1:12" x14ac:dyDescent="0.35">
      <c r="A25" t="s">
        <v>86</v>
      </c>
      <c r="B25" s="7">
        <v>89197</v>
      </c>
      <c r="C25" s="7">
        <v>133</v>
      </c>
      <c r="D25" s="7">
        <v>85128</v>
      </c>
      <c r="E25" s="7">
        <v>93446</v>
      </c>
      <c r="F25" s="7"/>
      <c r="G25" s="7"/>
      <c r="H25" s="7">
        <v>845</v>
      </c>
      <c r="I25" s="7">
        <v>624880</v>
      </c>
      <c r="J25" s="7">
        <v>71296</v>
      </c>
      <c r="K25" s="7">
        <v>94309</v>
      </c>
      <c r="L25" s="7">
        <v>1059234</v>
      </c>
    </row>
    <row r="26" spans="1:12" x14ac:dyDescent="0.35">
      <c r="A26" t="s">
        <v>88</v>
      </c>
      <c r="B26" s="7">
        <v>15176</v>
      </c>
      <c r="C26" s="7">
        <v>5</v>
      </c>
      <c r="D26" s="7">
        <v>21362</v>
      </c>
      <c r="E26" s="7">
        <v>16970</v>
      </c>
      <c r="F26" s="7"/>
      <c r="G26" s="7"/>
      <c r="H26" s="7">
        <v>305</v>
      </c>
      <c r="I26" s="7">
        <v>11085</v>
      </c>
      <c r="J26" s="7">
        <v>37489</v>
      </c>
      <c r="K26" s="7">
        <v>15965</v>
      </c>
      <c r="L26" s="7">
        <v>118357</v>
      </c>
    </row>
    <row r="27" spans="1:12" x14ac:dyDescent="0.35">
      <c r="A27" t="s">
        <v>90</v>
      </c>
      <c r="B27" s="7">
        <v>10819</v>
      </c>
      <c r="C27" s="7">
        <v>3</v>
      </c>
      <c r="D27" s="7">
        <v>60252</v>
      </c>
      <c r="E27" s="7">
        <v>1488</v>
      </c>
      <c r="F27" s="7"/>
      <c r="G27" s="7"/>
      <c r="H27" s="7">
        <v>133</v>
      </c>
      <c r="I27" s="7">
        <v>4758</v>
      </c>
      <c r="J27" s="7">
        <v>25177</v>
      </c>
      <c r="K27" s="7">
        <v>8591</v>
      </c>
      <c r="L27" s="7">
        <v>111220</v>
      </c>
    </row>
    <row r="28" spans="1:12" x14ac:dyDescent="0.35">
      <c r="A28" t="s">
        <v>92</v>
      </c>
      <c r="B28" s="7"/>
      <c r="C28" s="7"/>
      <c r="D28" s="7">
        <v>1881</v>
      </c>
      <c r="E28" s="7"/>
      <c r="F28" s="7"/>
      <c r="G28" s="7"/>
      <c r="H28" s="7"/>
      <c r="I28" s="7"/>
      <c r="J28" s="7">
        <v>141</v>
      </c>
      <c r="K28" s="7"/>
      <c r="L28" s="7">
        <v>2022</v>
      </c>
    </row>
    <row r="29" spans="1:12" x14ac:dyDescent="0.35">
      <c r="A29" t="s">
        <v>94</v>
      </c>
      <c r="B29" s="7">
        <v>24299</v>
      </c>
      <c r="C29" s="7">
        <v>424</v>
      </c>
      <c r="D29" s="7">
        <v>12658</v>
      </c>
      <c r="E29" s="7">
        <v>9443</v>
      </c>
      <c r="F29" s="7"/>
      <c r="G29" s="7"/>
      <c r="H29" s="7">
        <v>45</v>
      </c>
      <c r="I29" s="7">
        <v>2645</v>
      </c>
      <c r="J29" s="7">
        <v>10348</v>
      </c>
      <c r="K29" s="7">
        <v>12974</v>
      </c>
      <c r="L29" s="7">
        <v>72835</v>
      </c>
    </row>
    <row r="30" spans="1:12" x14ac:dyDescent="0.35">
      <c r="A30" t="s">
        <v>236</v>
      </c>
      <c r="B30" s="7">
        <v>18826</v>
      </c>
      <c r="C30" s="7">
        <v>3503</v>
      </c>
      <c r="D30" s="7">
        <v>116394</v>
      </c>
      <c r="E30" s="7">
        <v>53536</v>
      </c>
      <c r="F30" s="7"/>
      <c r="G30" s="7"/>
      <c r="H30" s="7"/>
      <c r="I30" s="7"/>
      <c r="J30" s="7"/>
      <c r="K30" s="7"/>
      <c r="L30" s="7">
        <v>192258</v>
      </c>
    </row>
    <row r="32" spans="1:12" x14ac:dyDescent="0.35">
      <c r="B32" s="7">
        <f>SUM(B9,B10:B21,B22*-1)</f>
        <v>0</v>
      </c>
      <c r="C32" s="7">
        <f t="shared" ref="C32:L32" si="0">SUM(C9,C10:C21,C22*-1)</f>
        <v>0</v>
      </c>
      <c r="D32" s="7">
        <f t="shared" si="0"/>
        <v>0</v>
      </c>
      <c r="E32" s="7">
        <f t="shared" si="0"/>
        <v>0</v>
      </c>
      <c r="F32" s="7">
        <f t="shared" si="0"/>
        <v>1</v>
      </c>
      <c r="G32" s="7">
        <f t="shared" si="0"/>
        <v>0</v>
      </c>
      <c r="H32" s="7">
        <f t="shared" si="0"/>
        <v>-1</v>
      </c>
      <c r="I32" s="7">
        <f t="shared" si="0"/>
        <v>-1</v>
      </c>
      <c r="J32" s="7">
        <f t="shared" si="0"/>
        <v>0</v>
      </c>
      <c r="K32" s="7">
        <f t="shared" si="0"/>
        <v>0</v>
      </c>
      <c r="L32" s="7">
        <f t="shared" si="0"/>
        <v>-1</v>
      </c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Ark100"/>
  <dimension ref="A1:L32"/>
  <sheetViews>
    <sheetView workbookViewId="0">
      <selection activeCell="A3" sqref="A3:L30"/>
    </sheetView>
  </sheetViews>
  <sheetFormatPr defaultRowHeight="14.5" x14ac:dyDescent="0.35"/>
  <cols>
    <col min="1" max="1" width="30" customWidth="1"/>
    <col min="2" max="2" width="11.54296875" customWidth="1"/>
    <col min="3" max="3" width="12" customWidth="1"/>
    <col min="4" max="4" width="14.54296875" customWidth="1"/>
    <col min="5" max="5" width="14.1796875" customWidth="1"/>
    <col min="8" max="8" width="22.81640625" customWidth="1"/>
    <col min="9" max="9" width="21.81640625" customWidth="1"/>
    <col min="10" max="10" width="13.81640625" customWidth="1"/>
    <col min="11" max="11" width="12.26953125" customWidth="1"/>
    <col min="12" max="12" width="11.81640625" customWidth="1"/>
  </cols>
  <sheetData>
    <row r="1" spans="1:12" x14ac:dyDescent="0.35">
      <c r="B1" t="s">
        <v>214</v>
      </c>
      <c r="C1" t="s">
        <v>2</v>
      </c>
      <c r="D1" t="s">
        <v>215</v>
      </c>
      <c r="E1" t="s">
        <v>216</v>
      </c>
      <c r="F1" t="s">
        <v>5</v>
      </c>
      <c r="G1" t="s">
        <v>6</v>
      </c>
      <c r="H1" t="s">
        <v>217</v>
      </c>
      <c r="I1" t="s">
        <v>8</v>
      </c>
      <c r="J1" t="s">
        <v>9</v>
      </c>
      <c r="K1" t="s">
        <v>10</v>
      </c>
      <c r="L1" t="s">
        <v>218</v>
      </c>
    </row>
    <row r="2" spans="1:12" x14ac:dyDescent="0.35">
      <c r="B2" t="s">
        <v>219</v>
      </c>
      <c r="C2" t="s">
        <v>219</v>
      </c>
      <c r="D2" t="s">
        <v>219</v>
      </c>
      <c r="E2" t="s">
        <v>219</v>
      </c>
      <c r="F2" t="s">
        <v>219</v>
      </c>
      <c r="G2" t="s">
        <v>219</v>
      </c>
      <c r="H2" t="s">
        <v>219</v>
      </c>
      <c r="I2" t="s">
        <v>219</v>
      </c>
      <c r="J2" t="s">
        <v>219</v>
      </c>
      <c r="K2" t="s">
        <v>219</v>
      </c>
      <c r="L2" t="s">
        <v>219</v>
      </c>
    </row>
    <row r="3" spans="1:12" x14ac:dyDescent="0.35">
      <c r="A3" t="s">
        <v>17</v>
      </c>
      <c r="B3" s="7">
        <v>1311097</v>
      </c>
      <c r="C3" s="7">
        <v>2666386</v>
      </c>
      <c r="D3" s="7"/>
      <c r="E3" s="7">
        <v>1154044</v>
      </c>
      <c r="F3" s="7">
        <v>87148</v>
      </c>
      <c r="G3" s="7">
        <v>109347</v>
      </c>
      <c r="H3" s="7">
        <v>23396</v>
      </c>
      <c r="I3" s="7">
        <v>828271</v>
      </c>
      <c r="J3" s="7"/>
      <c r="K3" s="7">
        <v>102</v>
      </c>
      <c r="L3" s="7">
        <v>6179790</v>
      </c>
    </row>
    <row r="4" spans="1:12" x14ac:dyDescent="0.35">
      <c r="A4" t="s">
        <v>220</v>
      </c>
      <c r="B4" s="7">
        <v>105143</v>
      </c>
      <c r="C4" s="7">
        <v>462356</v>
      </c>
      <c r="D4" s="7">
        <v>276567</v>
      </c>
      <c r="E4" s="7">
        <v>108617</v>
      </c>
      <c r="F4" s="7"/>
      <c r="G4" s="7"/>
      <c r="H4" s="7"/>
      <c r="I4" s="7">
        <v>203</v>
      </c>
      <c r="J4" s="7">
        <v>14302</v>
      </c>
      <c r="K4" s="7"/>
      <c r="L4" s="7">
        <v>967188</v>
      </c>
    </row>
    <row r="5" spans="1:12" x14ac:dyDescent="0.35">
      <c r="A5" t="s">
        <v>221</v>
      </c>
      <c r="B5" s="7">
        <v>-201428</v>
      </c>
      <c r="C5" s="7">
        <v>-1554790</v>
      </c>
      <c r="D5" s="7">
        <v>-453084</v>
      </c>
      <c r="E5" s="7">
        <v>-351492</v>
      </c>
      <c r="F5" s="7"/>
      <c r="G5" s="7"/>
      <c r="H5" s="7"/>
      <c r="I5" s="7">
        <v>-551</v>
      </c>
      <c r="J5" s="7">
        <v>-13525</v>
      </c>
      <c r="K5" s="7"/>
      <c r="L5" s="7">
        <v>-2574870</v>
      </c>
    </row>
    <row r="6" spans="1:12" x14ac:dyDescent="0.35">
      <c r="A6" t="s">
        <v>222</v>
      </c>
      <c r="B6" s="7"/>
      <c r="C6" s="7"/>
      <c r="D6" s="7">
        <v>-66728</v>
      </c>
      <c r="E6" s="7"/>
      <c r="F6" s="7"/>
      <c r="G6" s="7"/>
      <c r="H6" s="7"/>
      <c r="I6" s="7"/>
      <c r="J6" s="7"/>
      <c r="K6" s="7"/>
      <c r="L6" s="7">
        <v>-66728</v>
      </c>
    </row>
    <row r="7" spans="1:12" x14ac:dyDescent="0.35">
      <c r="A7" t="s">
        <v>223</v>
      </c>
      <c r="B7" s="7"/>
      <c r="C7" s="7"/>
      <c r="D7" s="7">
        <v>-43179</v>
      </c>
      <c r="E7" s="7"/>
      <c r="F7" s="7"/>
      <c r="G7" s="7"/>
      <c r="H7" s="7"/>
      <c r="I7" s="7"/>
      <c r="J7" s="7"/>
      <c r="K7" s="7"/>
      <c r="L7" s="7">
        <v>-43179</v>
      </c>
    </row>
    <row r="8" spans="1:12" x14ac:dyDescent="0.35">
      <c r="A8" t="s">
        <v>224</v>
      </c>
      <c r="B8" s="7">
        <v>1097</v>
      </c>
      <c r="C8" s="7">
        <v>-5257</v>
      </c>
      <c r="D8" s="7">
        <v>-4254</v>
      </c>
      <c r="E8" s="7">
        <v>-5994</v>
      </c>
      <c r="F8" s="7"/>
      <c r="G8" s="7"/>
      <c r="H8" s="7"/>
      <c r="I8" s="7">
        <v>843</v>
      </c>
      <c r="J8" s="7"/>
      <c r="K8" s="7"/>
      <c r="L8" s="7">
        <v>-13565</v>
      </c>
    </row>
    <row r="9" spans="1:12" x14ac:dyDescent="0.35">
      <c r="A9" t="s">
        <v>225</v>
      </c>
      <c r="B9" s="7">
        <v>1215909</v>
      </c>
      <c r="C9" s="7">
        <v>1568696</v>
      </c>
      <c r="D9" s="7">
        <v>-290679</v>
      </c>
      <c r="E9" s="7">
        <v>905175</v>
      </c>
      <c r="F9" s="7">
        <v>87148</v>
      </c>
      <c r="G9" s="7">
        <v>109347</v>
      </c>
      <c r="H9" s="7">
        <v>23396</v>
      </c>
      <c r="I9" s="7">
        <v>828766</v>
      </c>
      <c r="J9" s="7">
        <v>777</v>
      </c>
      <c r="K9" s="7">
        <v>102</v>
      </c>
      <c r="L9" s="7">
        <v>4448636</v>
      </c>
    </row>
    <row r="10" spans="1:12" x14ac:dyDescent="0.35">
      <c r="A10" t="s">
        <v>226</v>
      </c>
      <c r="B10" s="7"/>
      <c r="C10" s="7">
        <v>-91598</v>
      </c>
      <c r="D10" s="7">
        <v>97214</v>
      </c>
      <c r="E10" s="7"/>
      <c r="F10" s="7"/>
      <c r="G10" s="7"/>
      <c r="H10" s="7"/>
      <c r="I10" s="7"/>
      <c r="J10" s="7"/>
      <c r="K10" s="7"/>
      <c r="L10" s="7">
        <v>5615</v>
      </c>
    </row>
    <row r="11" spans="1:12" x14ac:dyDescent="0.35">
      <c r="A11" t="s">
        <v>227</v>
      </c>
      <c r="B11" s="7">
        <v>7379</v>
      </c>
      <c r="C11" s="7">
        <v>-7314</v>
      </c>
      <c r="D11" s="7">
        <v>3391</v>
      </c>
      <c r="E11" s="7">
        <v>5112</v>
      </c>
      <c r="F11" s="7"/>
      <c r="G11" s="7"/>
      <c r="H11" s="7">
        <v>-94</v>
      </c>
      <c r="I11" s="7">
        <v>216</v>
      </c>
      <c r="J11" s="7">
        <v>396</v>
      </c>
      <c r="K11" s="7">
        <v>-65</v>
      </c>
      <c r="L11" s="7">
        <v>9022</v>
      </c>
    </row>
    <row r="12" spans="1:12" x14ac:dyDescent="0.35">
      <c r="A12" t="s">
        <v>228</v>
      </c>
      <c r="B12" s="7">
        <v>-516381</v>
      </c>
      <c r="C12" s="7">
        <v>-15506</v>
      </c>
      <c r="D12" s="7">
        <v>-120179</v>
      </c>
      <c r="E12" s="7">
        <v>-181038</v>
      </c>
      <c r="F12" s="7">
        <v>-86784</v>
      </c>
      <c r="G12" s="7">
        <v>-109347</v>
      </c>
      <c r="H12" s="7">
        <v>-20474</v>
      </c>
      <c r="I12" s="7">
        <v>-4642</v>
      </c>
      <c r="J12" s="7">
        <v>420818</v>
      </c>
      <c r="K12" s="7">
        <v>-102</v>
      </c>
      <c r="L12" s="7">
        <v>-633636</v>
      </c>
    </row>
    <row r="13" spans="1:12" x14ac:dyDescent="0.35">
      <c r="A13" t="s">
        <v>66</v>
      </c>
      <c r="B13" s="7">
        <v>-90554</v>
      </c>
      <c r="C13" s="7">
        <v>-67</v>
      </c>
      <c r="D13" s="7">
        <v>-20404</v>
      </c>
      <c r="E13" s="7">
        <v>-155255</v>
      </c>
      <c r="F13" s="7">
        <v>-364</v>
      </c>
      <c r="G13" s="7"/>
      <c r="H13" s="7"/>
      <c r="I13" s="7">
        <v>-3247</v>
      </c>
      <c r="J13" s="7">
        <v>67274</v>
      </c>
      <c r="K13" s="7">
        <v>96582</v>
      </c>
      <c r="L13" s="7">
        <v>-106034</v>
      </c>
    </row>
    <row r="14" spans="1:12" x14ac:dyDescent="0.35">
      <c r="A14" t="s">
        <v>229</v>
      </c>
      <c r="B14" s="7">
        <v>-62577</v>
      </c>
      <c r="C14" s="7">
        <v>-1139</v>
      </c>
      <c r="D14" s="7">
        <v>-17111</v>
      </c>
      <c r="E14" s="7">
        <v>-90447</v>
      </c>
      <c r="F14" s="7"/>
      <c r="G14" s="7"/>
      <c r="H14" s="7"/>
      <c r="I14" s="7">
        <v>-2860</v>
      </c>
      <c r="J14" s="7"/>
      <c r="K14" s="7">
        <v>135689</v>
      </c>
      <c r="L14" s="7">
        <v>-38446</v>
      </c>
    </row>
    <row r="15" spans="1:12" x14ac:dyDescent="0.35">
      <c r="A15" t="s">
        <v>230</v>
      </c>
      <c r="B15" s="7">
        <v>-3874</v>
      </c>
      <c r="C15" s="7"/>
      <c r="D15" s="7">
        <v>-1067</v>
      </c>
      <c r="E15" s="7">
        <v>686</v>
      </c>
      <c r="F15" s="7"/>
      <c r="G15" s="7"/>
      <c r="H15" s="7"/>
      <c r="I15" s="7"/>
      <c r="J15" s="7"/>
      <c r="K15" s="7"/>
      <c r="L15" s="7">
        <v>-4255</v>
      </c>
    </row>
    <row r="16" spans="1:12" x14ac:dyDescent="0.35">
      <c r="A16" t="s">
        <v>70</v>
      </c>
      <c r="B16" s="7"/>
      <c r="C16" s="7">
        <v>-1441016</v>
      </c>
      <c r="D16" s="7">
        <v>1418058</v>
      </c>
      <c r="E16" s="7"/>
      <c r="F16" s="7"/>
      <c r="G16" s="7"/>
      <c r="H16" s="7"/>
      <c r="I16" s="7"/>
      <c r="J16" s="7"/>
      <c r="K16" s="7"/>
      <c r="L16" s="7">
        <v>-22958</v>
      </c>
    </row>
    <row r="17" spans="1:12" x14ac:dyDescent="0.35">
      <c r="A17" t="s">
        <v>231</v>
      </c>
      <c r="B17" s="7">
        <v>-84100</v>
      </c>
      <c r="C17" s="7"/>
      <c r="D17" s="7">
        <v>-681</v>
      </c>
      <c r="E17" s="7"/>
      <c r="F17" s="7"/>
      <c r="G17" s="7"/>
      <c r="H17" s="7"/>
      <c r="I17" s="7"/>
      <c r="J17" s="7"/>
      <c r="K17" s="7"/>
      <c r="L17" s="7">
        <v>-84781</v>
      </c>
    </row>
    <row r="18" spans="1:12" x14ac:dyDescent="0.35">
      <c r="A18" t="s">
        <v>232</v>
      </c>
      <c r="B18" s="7">
        <v>-14843</v>
      </c>
      <c r="C18" s="7">
        <v>7859</v>
      </c>
      <c r="D18" s="7"/>
      <c r="E18" s="7">
        <v>-1849</v>
      </c>
      <c r="F18" s="7"/>
      <c r="G18" s="7"/>
      <c r="H18" s="7"/>
      <c r="I18" s="7"/>
      <c r="J18" s="7"/>
      <c r="K18" s="7"/>
      <c r="L18" s="7">
        <v>-8833</v>
      </c>
    </row>
    <row r="19" spans="1:12" x14ac:dyDescent="0.35">
      <c r="A19" t="s">
        <v>233</v>
      </c>
      <c r="B19" s="7"/>
      <c r="C19" s="7">
        <v>3468</v>
      </c>
      <c r="D19" s="7">
        <v>-3137</v>
      </c>
      <c r="E19" s="7">
        <v>-3023</v>
      </c>
      <c r="F19" s="7"/>
      <c r="G19" s="7"/>
      <c r="H19" s="7"/>
      <c r="I19" s="7">
        <v>-49371</v>
      </c>
      <c r="J19" s="7"/>
      <c r="K19" s="7"/>
      <c r="L19" s="7">
        <v>-52062</v>
      </c>
    </row>
    <row r="20" spans="1:12" x14ac:dyDescent="0.35">
      <c r="A20" t="s">
        <v>234</v>
      </c>
      <c r="B20" s="7">
        <v>-41469</v>
      </c>
      <c r="C20" s="7">
        <v>-8846</v>
      </c>
      <c r="D20" s="7">
        <v>-76337</v>
      </c>
      <c r="E20" s="7">
        <v>-89536</v>
      </c>
      <c r="F20" s="7"/>
      <c r="G20" s="7"/>
      <c r="H20" s="7"/>
      <c r="I20" s="7">
        <v>-5663</v>
      </c>
      <c r="J20" s="7">
        <v>-53316</v>
      </c>
      <c r="K20" s="7">
        <v>-20614</v>
      </c>
      <c r="L20" s="7">
        <v>-295781</v>
      </c>
    </row>
    <row r="21" spans="1:12" x14ac:dyDescent="0.35">
      <c r="A21" t="s">
        <v>235</v>
      </c>
      <c r="B21" s="7">
        <v>-1979</v>
      </c>
      <c r="C21" s="7">
        <v>-5083</v>
      </c>
      <c r="D21" s="7">
        <v>-872</v>
      </c>
      <c r="E21" s="7">
        <v>-15763</v>
      </c>
      <c r="F21" s="7"/>
      <c r="G21" s="7"/>
      <c r="H21" s="7">
        <v>-1</v>
      </c>
      <c r="I21" s="7">
        <v>-169</v>
      </c>
      <c r="J21" s="7">
        <v>-63154</v>
      </c>
      <c r="K21" s="7">
        <v>-15103</v>
      </c>
      <c r="L21" s="7">
        <v>-102124</v>
      </c>
    </row>
    <row r="22" spans="1:12" x14ac:dyDescent="0.35">
      <c r="A22" t="s">
        <v>131</v>
      </c>
      <c r="B22" s="7">
        <v>407510</v>
      </c>
      <c r="C22" s="7">
        <v>9453</v>
      </c>
      <c r="D22" s="7">
        <v>988197</v>
      </c>
      <c r="E22" s="7">
        <v>374062</v>
      </c>
      <c r="F22" s="7"/>
      <c r="G22" s="7"/>
      <c r="H22" s="7">
        <v>2827</v>
      </c>
      <c r="I22" s="7">
        <v>763030</v>
      </c>
      <c r="J22" s="7">
        <v>372795</v>
      </c>
      <c r="K22" s="7">
        <v>196489</v>
      </c>
      <c r="L22" s="7">
        <v>3114363</v>
      </c>
    </row>
    <row r="23" spans="1:12" x14ac:dyDescent="0.35">
      <c r="A23" t="s">
        <v>80</v>
      </c>
      <c r="B23" s="7">
        <v>285824</v>
      </c>
      <c r="C23" s="7">
        <v>5238</v>
      </c>
      <c r="D23" s="7">
        <v>166885</v>
      </c>
      <c r="E23" s="7">
        <v>139011</v>
      </c>
      <c r="F23" s="7"/>
      <c r="G23" s="7"/>
      <c r="H23" s="7">
        <v>70</v>
      </c>
      <c r="I23" s="7">
        <v>89664</v>
      </c>
      <c r="J23" s="7">
        <v>183159</v>
      </c>
      <c r="K23" s="7">
        <v>82581</v>
      </c>
      <c r="L23" s="7">
        <v>952433</v>
      </c>
    </row>
    <row r="24" spans="1:12" x14ac:dyDescent="0.35">
      <c r="A24" t="s">
        <v>82</v>
      </c>
      <c r="B24" s="7">
        <v>512</v>
      </c>
      <c r="C24" s="7">
        <v>10</v>
      </c>
      <c r="D24" s="7">
        <v>486492</v>
      </c>
      <c r="E24" s="7">
        <v>36741</v>
      </c>
      <c r="F24" s="7"/>
      <c r="G24" s="7"/>
      <c r="H24" s="7"/>
      <c r="I24" s="7">
        <v>5899</v>
      </c>
      <c r="J24" s="7">
        <v>9751</v>
      </c>
      <c r="K24" s="7"/>
      <c r="L24" s="7">
        <v>539405</v>
      </c>
    </row>
    <row r="25" spans="1:12" x14ac:dyDescent="0.35">
      <c r="A25" t="s">
        <v>86</v>
      </c>
      <c r="B25" s="7">
        <v>63534</v>
      </c>
      <c r="C25" s="7">
        <v>722</v>
      </c>
      <c r="D25" s="7">
        <v>97856</v>
      </c>
      <c r="E25" s="7">
        <v>111210</v>
      </c>
      <c r="F25" s="7"/>
      <c r="G25" s="7"/>
      <c r="H25" s="7">
        <v>1887</v>
      </c>
      <c r="I25" s="7">
        <v>648339</v>
      </c>
      <c r="J25" s="7">
        <v>91351</v>
      </c>
      <c r="K25" s="7">
        <v>88246</v>
      </c>
      <c r="L25" s="7">
        <v>1103146</v>
      </c>
    </row>
    <row r="26" spans="1:12" x14ac:dyDescent="0.35">
      <c r="A26" t="s">
        <v>88</v>
      </c>
      <c r="B26" s="7">
        <v>12512</v>
      </c>
      <c r="C26" s="7"/>
      <c r="D26" s="7">
        <v>22522</v>
      </c>
      <c r="E26" s="7">
        <v>16098</v>
      </c>
      <c r="F26" s="7"/>
      <c r="G26" s="7"/>
      <c r="H26" s="7">
        <v>573</v>
      </c>
      <c r="I26" s="7">
        <v>12561</v>
      </c>
      <c r="J26" s="7">
        <v>51182</v>
      </c>
      <c r="K26" s="7">
        <v>15209</v>
      </c>
      <c r="L26" s="7">
        <v>130657</v>
      </c>
    </row>
    <row r="27" spans="1:12" x14ac:dyDescent="0.35">
      <c r="A27" t="s">
        <v>90</v>
      </c>
      <c r="B27" s="7">
        <v>6612</v>
      </c>
      <c r="C27" s="7">
        <v>1</v>
      </c>
      <c r="D27" s="7">
        <v>48901</v>
      </c>
      <c r="E27" s="7">
        <v>892</v>
      </c>
      <c r="F27" s="7"/>
      <c r="G27" s="7"/>
      <c r="H27" s="7">
        <v>217</v>
      </c>
      <c r="I27" s="7">
        <v>4519</v>
      </c>
      <c r="J27" s="7">
        <v>21937</v>
      </c>
      <c r="K27" s="7">
        <v>4649</v>
      </c>
      <c r="L27" s="7">
        <v>87728</v>
      </c>
    </row>
    <row r="28" spans="1:12" x14ac:dyDescent="0.35">
      <c r="A28" t="s">
        <v>92</v>
      </c>
      <c r="B28" s="7"/>
      <c r="C28" s="7"/>
      <c r="D28" s="7">
        <v>1571</v>
      </c>
      <c r="E28" s="7"/>
      <c r="F28" s="7"/>
      <c r="G28" s="7"/>
      <c r="H28" s="7"/>
      <c r="I28" s="7">
        <v>1</v>
      </c>
      <c r="J28" s="7">
        <v>91</v>
      </c>
      <c r="K28" s="7"/>
      <c r="L28" s="7">
        <v>1663</v>
      </c>
    </row>
    <row r="29" spans="1:12" x14ac:dyDescent="0.35">
      <c r="A29" t="s">
        <v>94</v>
      </c>
      <c r="B29" s="7">
        <v>18855</v>
      </c>
      <c r="C29" s="7">
        <v>279</v>
      </c>
      <c r="D29" s="7">
        <v>11839</v>
      </c>
      <c r="E29" s="7">
        <v>6323</v>
      </c>
      <c r="F29" s="7"/>
      <c r="G29" s="7"/>
      <c r="H29" s="7">
        <v>79</v>
      </c>
      <c r="I29" s="7">
        <v>2045</v>
      </c>
      <c r="J29" s="7">
        <v>15325</v>
      </c>
      <c r="K29" s="7">
        <v>5804</v>
      </c>
      <c r="L29" s="7">
        <v>60548</v>
      </c>
    </row>
    <row r="30" spans="1:12" x14ac:dyDescent="0.35">
      <c r="A30" t="s">
        <v>236</v>
      </c>
      <c r="B30" s="7">
        <v>19661</v>
      </c>
      <c r="C30" s="7">
        <v>3204</v>
      </c>
      <c r="D30" s="7">
        <v>152131</v>
      </c>
      <c r="E30" s="7">
        <v>63786</v>
      </c>
      <c r="F30" s="7"/>
      <c r="G30" s="7"/>
      <c r="H30" s="7"/>
      <c r="I30" s="7"/>
      <c r="J30" s="7"/>
      <c r="K30" s="7"/>
      <c r="L30" s="7">
        <v>238782</v>
      </c>
    </row>
    <row r="32" spans="1:12" x14ac:dyDescent="0.35">
      <c r="B32" s="7">
        <f>SUM(B9,B10:B21,B22*-1)</f>
        <v>1</v>
      </c>
      <c r="C32" s="7">
        <f t="shared" ref="C32:L32" si="0">SUM(C9,C10:C21,C22*-1)</f>
        <v>1</v>
      </c>
      <c r="D32" s="7">
        <f t="shared" si="0"/>
        <v>-1</v>
      </c>
      <c r="E32" s="7">
        <f t="shared" si="0"/>
        <v>0</v>
      </c>
      <c r="F32" s="7">
        <f t="shared" si="0"/>
        <v>0</v>
      </c>
      <c r="G32" s="7">
        <f t="shared" si="0"/>
        <v>0</v>
      </c>
      <c r="H32" s="7">
        <f t="shared" si="0"/>
        <v>0</v>
      </c>
      <c r="I32" s="7">
        <f t="shared" si="0"/>
        <v>0</v>
      </c>
      <c r="J32" s="7">
        <f t="shared" si="0"/>
        <v>0</v>
      </c>
      <c r="K32" s="7">
        <f t="shared" si="0"/>
        <v>0</v>
      </c>
      <c r="L32" s="7">
        <f t="shared" si="0"/>
        <v>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H31"/>
  <sheetViews>
    <sheetView topLeftCell="Q7" zoomScale="130" zoomScaleNormal="130" workbookViewId="0">
      <selection sqref="A1:AJ27"/>
    </sheetView>
  </sheetViews>
  <sheetFormatPr defaultRowHeight="14.5" x14ac:dyDescent="0.35"/>
  <cols>
    <col min="3" max="3" width="16.453125" customWidth="1"/>
    <col min="4" max="4" width="12.81640625" customWidth="1"/>
    <col min="5" max="5" width="12.54296875" customWidth="1"/>
    <col min="6" max="6" width="16.54296875" customWidth="1"/>
    <col min="10" max="10" width="12.54296875" customWidth="1"/>
    <col min="11" max="11" width="11.54296875" customWidth="1"/>
    <col min="14" max="14" width="10.81640625" customWidth="1"/>
    <col min="15" max="15" width="51.54296875" customWidth="1"/>
    <col min="16" max="18" width="15.81640625" customWidth="1"/>
    <col min="19" max="19" width="12.81640625" customWidth="1"/>
    <col min="24" max="24" width="14.1796875" bestFit="1" customWidth="1"/>
    <col min="33" max="34" width="11.26953125" customWidth="1"/>
  </cols>
  <sheetData>
    <row r="1" spans="1:34" ht="140" x14ac:dyDescent="0.35">
      <c r="B1" s="44" t="s">
        <v>0</v>
      </c>
      <c r="C1" s="3" t="s">
        <v>1</v>
      </c>
      <c r="D1" s="8" t="s">
        <v>2</v>
      </c>
      <c r="E1" s="2" t="s">
        <v>3</v>
      </c>
      <c r="F1" s="3" t="s">
        <v>4</v>
      </c>
      <c r="G1" s="1" t="s">
        <v>5</v>
      </c>
      <c r="H1" s="1" t="s">
        <v>6</v>
      </c>
      <c r="I1" s="1" t="s">
        <v>7</v>
      </c>
      <c r="J1" s="3" t="s">
        <v>8</v>
      </c>
      <c r="K1" s="2" t="s">
        <v>9</v>
      </c>
      <c r="L1" s="2" t="s">
        <v>10</v>
      </c>
      <c r="M1" s="17" t="s">
        <v>11</v>
      </c>
      <c r="N1" s="5" t="s">
        <v>12</v>
      </c>
      <c r="O1" s="4" t="s">
        <v>97</v>
      </c>
      <c r="P1" s="60"/>
      <c r="Q1" s="60"/>
      <c r="R1" s="12" t="s">
        <v>14</v>
      </c>
      <c r="S1" s="11" t="s">
        <v>15</v>
      </c>
      <c r="T1" s="12" t="s">
        <v>16</v>
      </c>
      <c r="U1" s="44" t="s">
        <v>17</v>
      </c>
      <c r="V1" s="3" t="s">
        <v>1</v>
      </c>
      <c r="W1" s="8" t="s">
        <v>2</v>
      </c>
      <c r="X1" s="9" t="s">
        <v>3</v>
      </c>
      <c r="Y1" s="3" t="s">
        <v>4</v>
      </c>
      <c r="Z1" s="1" t="s">
        <v>5</v>
      </c>
      <c r="AA1" s="1" t="s">
        <v>6</v>
      </c>
      <c r="AB1" s="1" t="s">
        <v>7</v>
      </c>
      <c r="AC1" s="3" t="s">
        <v>8</v>
      </c>
      <c r="AD1" s="2" t="s">
        <v>9</v>
      </c>
      <c r="AE1" s="2" t="s">
        <v>10</v>
      </c>
      <c r="AF1" s="17" t="s">
        <v>11</v>
      </c>
      <c r="AG1" s="13" t="s">
        <v>18</v>
      </c>
      <c r="AH1" s="13" t="s">
        <v>19</v>
      </c>
    </row>
    <row r="2" spans="1:34" ht="24.75" customHeight="1" x14ac:dyDescent="0.35">
      <c r="A2" s="45" t="s">
        <v>20</v>
      </c>
      <c r="B2" s="46" t="s">
        <v>21</v>
      </c>
      <c r="C2" s="46" t="s">
        <v>22</v>
      </c>
      <c r="D2" s="46" t="s">
        <v>23</v>
      </c>
      <c r="E2" s="47" t="s">
        <v>24</v>
      </c>
      <c r="F2" s="46" t="s">
        <v>25</v>
      </c>
      <c r="G2" s="46" t="s">
        <v>26</v>
      </c>
      <c r="H2" s="46" t="s">
        <v>27</v>
      </c>
      <c r="I2" s="46" t="s">
        <v>28</v>
      </c>
      <c r="J2" s="48" t="s">
        <v>29</v>
      </c>
      <c r="K2" s="47" t="s">
        <v>30</v>
      </c>
      <c r="L2" s="49" t="s">
        <v>31</v>
      </c>
      <c r="M2" s="49" t="s">
        <v>32</v>
      </c>
      <c r="N2" s="50" t="s">
        <v>33</v>
      </c>
      <c r="O2" s="51"/>
      <c r="P2" s="52" t="s">
        <v>20</v>
      </c>
      <c r="Q2" s="53" t="s">
        <v>34</v>
      </c>
      <c r="R2" s="50" t="s">
        <v>35</v>
      </c>
      <c r="S2" s="54" t="s">
        <v>36</v>
      </c>
      <c r="T2" s="50" t="s">
        <v>37</v>
      </c>
      <c r="U2" s="46" t="s">
        <v>38</v>
      </c>
      <c r="V2" s="46" t="s">
        <v>39</v>
      </c>
      <c r="W2" s="46" t="s">
        <v>40</v>
      </c>
      <c r="X2" s="47" t="s">
        <v>41</v>
      </c>
      <c r="Y2" s="46" t="s">
        <v>42</v>
      </c>
      <c r="Z2" s="46" t="s">
        <v>43</v>
      </c>
      <c r="AA2" s="46" t="s">
        <v>44</v>
      </c>
      <c r="AB2" s="46" t="s">
        <v>45</v>
      </c>
      <c r="AC2" s="46" t="s">
        <v>46</v>
      </c>
      <c r="AD2" s="47" t="s">
        <v>47</v>
      </c>
      <c r="AE2" s="47" t="s">
        <v>48</v>
      </c>
      <c r="AF2" s="49" t="s">
        <v>49</v>
      </c>
      <c r="AG2" s="46" t="s">
        <v>50</v>
      </c>
      <c r="AH2" s="46" t="s">
        <v>51</v>
      </c>
    </row>
    <row r="3" spans="1:34" ht="24.75" customHeight="1" x14ac:dyDescent="0.35">
      <c r="A3" s="45" t="s">
        <v>34</v>
      </c>
      <c r="B3" s="55"/>
      <c r="C3" s="56" t="s">
        <v>52</v>
      </c>
      <c r="D3" s="56" t="s">
        <v>52</v>
      </c>
      <c r="E3" s="56" t="s">
        <v>21</v>
      </c>
      <c r="F3" s="56" t="s">
        <v>21</v>
      </c>
      <c r="G3" s="56" t="s">
        <v>21</v>
      </c>
      <c r="H3" s="56" t="s">
        <v>52</v>
      </c>
      <c r="I3" s="56" t="s">
        <v>52</v>
      </c>
      <c r="J3" s="56" t="s">
        <v>21</v>
      </c>
      <c r="K3" s="56" t="s">
        <v>21</v>
      </c>
      <c r="L3" s="57" t="s">
        <v>21</v>
      </c>
      <c r="M3" s="57" t="s">
        <v>21</v>
      </c>
      <c r="N3" s="50"/>
      <c r="O3" s="51" t="s">
        <v>53</v>
      </c>
      <c r="P3" s="52"/>
      <c r="Q3" s="53"/>
      <c r="R3" s="74"/>
      <c r="S3" s="58"/>
      <c r="T3" s="59"/>
      <c r="U3" s="55"/>
      <c r="V3" s="56" t="s">
        <v>38</v>
      </c>
      <c r="W3" s="56" t="s">
        <v>38</v>
      </c>
      <c r="X3" s="56" t="s">
        <v>38</v>
      </c>
      <c r="Y3" s="56" t="s">
        <v>38</v>
      </c>
      <c r="Z3" s="56" t="s">
        <v>38</v>
      </c>
      <c r="AA3" s="56" t="s">
        <v>38</v>
      </c>
      <c r="AB3" s="56" t="s">
        <v>54</v>
      </c>
      <c r="AC3" s="56" t="s">
        <v>38</v>
      </c>
      <c r="AD3" s="56" t="s">
        <v>38</v>
      </c>
      <c r="AE3" s="56" t="s">
        <v>38</v>
      </c>
      <c r="AF3" s="57" t="s">
        <v>38</v>
      </c>
      <c r="AG3" s="56"/>
      <c r="AH3" s="56"/>
    </row>
    <row r="4" spans="1:34" ht="24.75" customHeight="1" x14ac:dyDescent="0.35">
      <c r="A4" s="72" t="s">
        <v>55</v>
      </c>
      <c r="B4" s="72"/>
      <c r="C4" s="56"/>
      <c r="D4" s="56"/>
      <c r="E4" s="56"/>
      <c r="F4" s="56"/>
      <c r="G4" s="56"/>
      <c r="H4" s="56"/>
      <c r="I4" s="56"/>
      <c r="J4" s="56"/>
      <c r="K4" s="56"/>
      <c r="L4" s="57"/>
      <c r="M4" s="57"/>
      <c r="N4" s="50"/>
      <c r="O4" s="51"/>
      <c r="P4" s="73"/>
      <c r="Q4" s="53"/>
      <c r="R4" s="74"/>
      <c r="S4" s="58"/>
      <c r="T4" s="59"/>
      <c r="U4" s="55">
        <f>B4</f>
        <v>0</v>
      </c>
      <c r="V4" s="56"/>
      <c r="W4" s="56"/>
      <c r="X4" s="56"/>
      <c r="Y4" s="56"/>
      <c r="Z4" s="56"/>
      <c r="AA4" s="56"/>
      <c r="AB4" s="56"/>
      <c r="AC4" s="56"/>
      <c r="AD4" s="56"/>
      <c r="AE4" s="56"/>
      <c r="AF4" s="57"/>
      <c r="AG4" s="56">
        <f>U4</f>
        <v>0</v>
      </c>
      <c r="AH4" s="56">
        <f>U4</f>
        <v>0</v>
      </c>
    </row>
    <row r="5" spans="1:34" x14ac:dyDescent="0.35">
      <c r="C5" s="14"/>
      <c r="D5" s="14"/>
      <c r="E5" s="14"/>
      <c r="F5" s="14"/>
      <c r="G5" s="14"/>
      <c r="H5" s="14"/>
      <c r="I5" s="14"/>
      <c r="J5" s="14"/>
      <c r="K5" s="14"/>
      <c r="L5" s="14"/>
      <c r="M5" s="14"/>
      <c r="N5" s="23">
        <f>SUM(C5:M5)</f>
        <v>0</v>
      </c>
      <c r="O5" s="10" t="s">
        <v>56</v>
      </c>
      <c r="P5" s="62" t="s">
        <v>57</v>
      </c>
      <c r="Q5" s="63"/>
      <c r="R5" s="63"/>
      <c r="S5" s="24">
        <f>SUM(V5:AF5)</f>
        <v>184284.41325018997</v>
      </c>
      <c r="T5" s="37"/>
      <c r="U5" s="61"/>
      <c r="V5" s="14">
        <f>-(C6+C5)</f>
        <v>33630.427339763664</v>
      </c>
      <c r="W5" s="14">
        <f>-(D6+D5)</f>
        <v>48735.760007464218</v>
      </c>
      <c r="X5" s="14"/>
      <c r="Y5" s="14">
        <f>-(F6+F5)</f>
        <v>63704.623163950775</v>
      </c>
      <c r="Z5" s="14">
        <f>-(G6+G5)</f>
        <v>24627.127384911721</v>
      </c>
      <c r="AA5" s="14"/>
      <c r="AB5" s="14"/>
      <c r="AC5" s="14">
        <f>-(J6+J5)</f>
        <v>13586.475354099586</v>
      </c>
      <c r="AD5" s="14"/>
      <c r="AE5" s="14"/>
      <c r="AF5" s="14"/>
      <c r="AG5" s="14"/>
      <c r="AH5" s="14"/>
    </row>
    <row r="6" spans="1:34" x14ac:dyDescent="0.35">
      <c r="C6" s="14">
        <f>-V6</f>
        <v>-33630.427339763664</v>
      </c>
      <c r="D6" s="14">
        <f>-W6</f>
        <v>-48735.760007464218</v>
      </c>
      <c r="E6" s="14"/>
      <c r="F6" s="14">
        <f>-Y6</f>
        <v>-63704.623163950775</v>
      </c>
      <c r="G6" s="14">
        <f>-Z6</f>
        <v>-24627.127384911721</v>
      </c>
      <c r="H6" s="14"/>
      <c r="I6" s="14"/>
      <c r="J6" s="14">
        <f>-AC6</f>
        <v>-13586.475354099586</v>
      </c>
      <c r="K6" s="14"/>
      <c r="L6" s="18"/>
      <c r="M6" s="18"/>
      <c r="N6" s="23">
        <f t="shared" ref="N6:N15" si="0">SUM(C6:M6)</f>
        <v>-184284.41325018997</v>
      </c>
      <c r="O6" s="22" t="s">
        <v>58</v>
      </c>
      <c r="P6" s="65" t="s">
        <v>59</v>
      </c>
      <c r="Q6" s="66"/>
      <c r="R6" s="66"/>
      <c r="S6" s="24">
        <f t="shared" ref="S6:S25" si="1">SUM(V6:AF6)</f>
        <v>184284.41325018997</v>
      </c>
      <c r="T6" s="37"/>
      <c r="U6" s="61"/>
      <c r="V6" s="14">
        <f>-(C16+C8)</f>
        <v>33630.427339763664</v>
      </c>
      <c r="W6" s="14">
        <f>-(D16+D8)</f>
        <v>48735.760007464218</v>
      </c>
      <c r="X6" s="14"/>
      <c r="Y6" s="14">
        <f>-(F16+F8)</f>
        <v>63704.623163950775</v>
      </c>
      <c r="Z6" s="14">
        <f>-(G16+G8)</f>
        <v>24627.127384911721</v>
      </c>
      <c r="AA6" s="14"/>
      <c r="AB6" s="14"/>
      <c r="AC6" s="14">
        <f>-(J16+J8)</f>
        <v>13586.475354099586</v>
      </c>
      <c r="AD6" s="14"/>
      <c r="AE6" s="14"/>
      <c r="AF6" s="14"/>
      <c r="AG6" s="21">
        <f>-(N6+S6)</f>
        <v>0</v>
      </c>
      <c r="AH6" s="21"/>
    </row>
    <row r="7" spans="1:34" x14ac:dyDescent="0.35"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23">
        <f t="shared" si="0"/>
        <v>0</v>
      </c>
      <c r="O7" s="22" t="s">
        <v>60</v>
      </c>
      <c r="P7" s="67" t="s">
        <v>61</v>
      </c>
      <c r="Q7" s="66"/>
      <c r="R7" s="66"/>
      <c r="S7" s="24">
        <f t="shared" si="1"/>
        <v>19206.612567092892</v>
      </c>
      <c r="T7" s="37"/>
      <c r="U7" s="61"/>
      <c r="V7" s="14"/>
      <c r="W7" s="14"/>
      <c r="X7" s="14"/>
      <c r="Y7" s="14"/>
      <c r="Z7" s="16"/>
      <c r="AA7" s="19">
        <f>-H8</f>
        <v>6901.5984135000936</v>
      </c>
      <c r="AB7" s="19">
        <f>-I8</f>
        <v>12305.014153592798</v>
      </c>
      <c r="AC7" s="14"/>
      <c r="AD7" s="14"/>
      <c r="AE7" s="14"/>
      <c r="AF7" s="14"/>
      <c r="AG7" s="14"/>
      <c r="AH7" s="14"/>
    </row>
    <row r="8" spans="1:34" x14ac:dyDescent="0.35">
      <c r="C8" s="14">
        <f>SUM(C9:C13)</f>
        <v>-32269.803679598255</v>
      </c>
      <c r="D8" s="14">
        <f t="shared" ref="D8:M8" si="2">SUM(D9:D13)</f>
        <v>-48734.110792579893</v>
      </c>
      <c r="E8" s="14">
        <f t="shared" si="2"/>
        <v>-6660.3452010081</v>
      </c>
      <c r="F8" s="14">
        <f t="shared" si="2"/>
        <v>-32290.724544353718</v>
      </c>
      <c r="G8" s="14">
        <f t="shared" si="2"/>
        <v>-24627.127384911721</v>
      </c>
      <c r="H8" s="14">
        <f t="shared" si="2"/>
        <v>-6901.5984135000936</v>
      </c>
      <c r="I8" s="14">
        <f t="shared" si="2"/>
        <v>-12305.014153592798</v>
      </c>
      <c r="J8" s="14">
        <f t="shared" si="2"/>
        <v>-4998.1957079717449</v>
      </c>
      <c r="K8" s="14">
        <f t="shared" si="2"/>
        <v>-3182.8391783965981</v>
      </c>
      <c r="L8" s="14">
        <f t="shared" si="2"/>
        <v>-361.31525617842777</v>
      </c>
      <c r="M8" s="14">
        <f t="shared" si="2"/>
        <v>0</v>
      </c>
      <c r="N8" s="23">
        <f t="shared" si="0"/>
        <v>-172331.07431209137</v>
      </c>
      <c r="O8" s="22" t="s">
        <v>62</v>
      </c>
      <c r="P8" s="67" t="s">
        <v>63</v>
      </c>
      <c r="Q8" s="66"/>
      <c r="R8" s="66"/>
      <c r="S8" s="24">
        <f t="shared" si="1"/>
        <v>103685.63448667499</v>
      </c>
      <c r="T8" s="37"/>
      <c r="U8" s="61"/>
      <c r="V8" s="14">
        <f>SUM(V9:V13)</f>
        <v>0</v>
      </c>
      <c r="W8" s="14"/>
      <c r="X8" s="14">
        <f>(E14+E8)*-1</f>
        <v>47859.688967480077</v>
      </c>
      <c r="Y8" s="14"/>
      <c r="Z8" s="14"/>
      <c r="AA8" s="14"/>
      <c r="AB8" s="14"/>
      <c r="AC8" s="14"/>
      <c r="AD8" s="14">
        <f>(K14+K8)*-1</f>
        <v>52597.983046314912</v>
      </c>
      <c r="AE8" s="14">
        <f>(L14+L8)*-1</f>
        <v>3227.9624728800018</v>
      </c>
      <c r="AF8" s="14"/>
      <c r="AG8" s="21">
        <f>-(N8+S8)</f>
        <v>68645.439825416383</v>
      </c>
      <c r="AH8" s="21">
        <f>SUM(AH9:AH13)</f>
        <v>5412.3888838666126</v>
      </c>
    </row>
    <row r="9" spans="1:34" x14ac:dyDescent="0.35">
      <c r="C9" s="26">
        <f>-($AD$9+$H$9+$I$9)/$T$9*' KF OECD total'!$H109</f>
        <v>-28430.40160952611</v>
      </c>
      <c r="D9" s="26">
        <f>-($AD$9+$H$9+$I$9)/$T$9*' KF OECD total'!$H110</f>
        <v>-24.125544542707541</v>
      </c>
      <c r="E9" s="26">
        <f>-($AD$9+$H$9+$I$9)/$T$9*' KF OECD total'!$H111</f>
        <v>-1749.4602795127726</v>
      </c>
      <c r="F9" s="26">
        <f>-($AD$9+$H$9+$I$9)/$T$9*' KF OECD total'!$H112</f>
        <v>-20928.073857077015</v>
      </c>
      <c r="G9" s="26">
        <f>-($AD$9+$H$9+$I$9)/$T$9*' KF OECD total'!$H113</f>
        <v>-24502.619637906726</v>
      </c>
      <c r="H9" s="26">
        <f>AD9*' KF OECD total'!H94*-1</f>
        <v>-6901.5984135000936</v>
      </c>
      <c r="I9" s="26">
        <f>AD9*' KF OECD total'!H95*-1</f>
        <v>-12111.782324824846</v>
      </c>
      <c r="J9" s="26">
        <f>-($AD$9+$H$9+$I$9)/$T$9*' KF OECD total'!$H114</f>
        <v>-2487.1286622532621</v>
      </c>
      <c r="K9" s="25"/>
      <c r="L9" s="25"/>
      <c r="M9" s="25"/>
      <c r="N9" s="23">
        <f t="shared" si="0"/>
        <v>-97135.19032914353</v>
      </c>
      <c r="O9" s="6" t="s">
        <v>64</v>
      </c>
      <c r="P9" s="68" t="s">
        <v>65</v>
      </c>
      <c r="Q9" s="69" t="s">
        <v>63</v>
      </c>
      <c r="R9" s="69"/>
      <c r="S9" s="24">
        <f t="shared" si="1"/>
        <v>48447.129299299384</v>
      </c>
      <c r="T9" s="37">
        <f>' KF OECD total'!H104</f>
        <v>0.37676736771895902</v>
      </c>
      <c r="U9" s="61"/>
      <c r="V9" s="28"/>
      <c r="W9" s="28"/>
      <c r="X9" s="28"/>
      <c r="Y9" s="28"/>
      <c r="Z9" s="28"/>
      <c r="AA9" s="28"/>
      <c r="AB9" s="28"/>
      <c r="AC9" s="28"/>
      <c r="AD9" s="28">
        <f>AD8-AD10</f>
        <v>48447.129299299384</v>
      </c>
      <c r="AE9" s="28"/>
      <c r="AF9" s="28"/>
      <c r="AG9" s="29">
        <f>-(S9+N9)</f>
        <v>48688.061029844146</v>
      </c>
      <c r="AH9" s="29">
        <f>-(C9*Emissionsfaktorer!$B$2*(1-' KF OECD total'!H134)+D9*Emissionsfaktorer!$B$3+E9*Emissionsfaktorer!$B$4*(1-' KF OECD total'!H135)+F9*Emissionsfaktorer!$B$5*(1-' KF OECD total'!H136)+G9*Emissionsfaktorer!$B$6+H9*Emissionsfaktorer!$B$7+I9*Emissionsfaktorer!$B$8-J9*Emissionsfaktorer!B13*' KF OECD total'!H137+K9*Emissionsfaktorer!$B$10+L9*Emissionsfaktorer!$B$11+M9*Emissionsfaktorer!$B$12)</f>
        <v>4026.7473440013409</v>
      </c>
    </row>
    <row r="10" spans="1:34" x14ac:dyDescent="0.35">
      <c r="C10" s="26">
        <f>-($AD$10+$AE$10+$H$10+$I$10)/$T$10*' KF OECD total'!$H116</f>
        <v>-2969.2641675972936</v>
      </c>
      <c r="D10" s="26">
        <f>-($AD$10+$AE$10+$H$10+$I$10)/$T$10*' KF OECD total'!$H117</f>
        <v>0</v>
      </c>
      <c r="E10" s="26">
        <f>-($AD$10+$AE$10+$H$10+$I$10)/$T$10*' KF OECD total'!$H118</f>
        <v>-472.95858750816103</v>
      </c>
      <c r="F10" s="26">
        <f>-($AD$10+$AE$10+$H$10+$I$10)/$T$10*' KF OECD total'!$H119</f>
        <v>-4900.3088475615268</v>
      </c>
      <c r="G10" s="26">
        <f>-($AD$10+$AE$10+$H$10+$I$10)/$T$10*' KF OECD total'!$H120</f>
        <v>-124.50774700499316</v>
      </c>
      <c r="H10" s="26"/>
      <c r="I10" s="26">
        <f>(AD10+AE10)*' KF OECD total'!H98*-1</f>
        <v>-124.76352162493033</v>
      </c>
      <c r="J10" s="26">
        <f>-($AD$10+$AE$10+$H$10+$I$10)/$T$10*' KF OECD total'!$H121</f>
        <v>-2147.5130373643383</v>
      </c>
      <c r="K10" s="25"/>
      <c r="L10" s="25"/>
      <c r="M10" s="25"/>
      <c r="N10" s="23">
        <f t="shared" si="0"/>
        <v>-10739.315908661245</v>
      </c>
      <c r="O10" s="6" t="s">
        <v>66</v>
      </c>
      <c r="P10" s="68" t="s">
        <v>67</v>
      </c>
      <c r="Q10" s="69" t="s">
        <v>63</v>
      </c>
      <c r="R10" s="69"/>
      <c r="S10" s="24">
        <f t="shared" si="1"/>
        <v>6565.3119292866886</v>
      </c>
      <c r="T10" s="37">
        <f>' KF OECD total'!H105</f>
        <v>0.60676589768662148</v>
      </c>
      <c r="U10" s="61"/>
      <c r="V10" s="28"/>
      <c r="W10" s="28"/>
      <c r="X10" s="28"/>
      <c r="Y10" s="28"/>
      <c r="Z10" s="28"/>
      <c r="AA10" s="28"/>
      <c r="AB10" s="28"/>
      <c r="AC10" s="28"/>
      <c r="AD10" s="28">
        <f>AE10*' KF OECD total'!H90</f>
        <v>4150.853747015527</v>
      </c>
      <c r="AE10" s="28">
        <f>AE8*' KF OECD total'!H85</f>
        <v>2414.4581822711611</v>
      </c>
      <c r="AF10" s="28"/>
      <c r="AG10" s="29">
        <f t="shared" ref="AG10:AG11" si="3">-(S10+N10)</f>
        <v>4174.0039793745564</v>
      </c>
      <c r="AH10" s="29">
        <f>-(C10*Emissionsfaktorer!$B$2*(1-' KF OECD total'!H135)+D10*Emissionsfaktorer!$B$3+E10*Emissionsfaktorer!$B$4*(1-' KF OECD total'!H136)+F10*Emissionsfaktorer!$B$5*(1-' KF OECD total'!H137)+G10*Emissionsfaktorer!$B$6+H10*Emissionsfaktorer!$B$7+I10*Emissionsfaktorer!$B$8-J10*Emissionsfaktorer!B14*' KF OECD total'!H142+K10*Emissionsfaktorer!$B$10+L10*Emissionsfaktorer!$B$11+M10*Emissionsfaktorer!$B$12)</f>
        <v>597.34255288337022</v>
      </c>
    </row>
    <row r="11" spans="1:34" x14ac:dyDescent="0.35">
      <c r="C11" s="26">
        <f>-($AE$11+$H$11+$I$11)/$T$11*' KF OECD total'!$H123</f>
        <v>-148.25545483058309</v>
      </c>
      <c r="D11" s="26">
        <f>-($AE$11+$H$11+$I$11)/$T$11*' KF OECD total'!$H124</f>
        <v>0</v>
      </c>
      <c r="E11" s="26">
        <f>-($AE$11+$H$11+$I$11)/$T$11*' KF OECD total'!$H125</f>
        <v>-37.501667917387479</v>
      </c>
      <c r="F11" s="26">
        <f>-($AE$11+$H$11+$I$11)/$T$11*' KF OECD total'!$H126</f>
        <v>-361.43407052042465</v>
      </c>
      <c r="G11" s="26">
        <f>-($AE$11+$H$11+$I$11)/$T$11*' KF OECD total'!$H127</f>
        <v>0</v>
      </c>
      <c r="H11" s="26"/>
      <c r="I11" s="26">
        <f>AE11*' KF OECD total'!H101*-1</f>
        <v>-68.468307143020652</v>
      </c>
      <c r="J11" s="26">
        <f>-($AE$11+$H$11+$I$11)/$T$11*' KF OECD total'!$H128</f>
        <v>-324.78665471960642</v>
      </c>
      <c r="K11" s="28">
        <f>AE11*' KF OECD total'!H88*-1</f>
        <v>-16.017227185672329</v>
      </c>
      <c r="L11" s="25"/>
      <c r="M11" s="25"/>
      <c r="N11" s="23">
        <f t="shared" si="0"/>
        <v>-956.46338231669461</v>
      </c>
      <c r="O11" s="6" t="s">
        <v>68</v>
      </c>
      <c r="P11" s="64" t="s">
        <v>69</v>
      </c>
      <c r="Q11" s="69" t="s">
        <v>63</v>
      </c>
      <c r="R11" s="69"/>
      <c r="S11" s="24">
        <f t="shared" si="1"/>
        <v>813.50429060884051</v>
      </c>
      <c r="T11" s="37">
        <f>' KF OECD total'!H106</f>
        <v>0.85442076904237085</v>
      </c>
      <c r="U11" s="61"/>
      <c r="V11" s="28"/>
      <c r="W11" s="28"/>
      <c r="X11" s="28"/>
      <c r="Y11" s="28"/>
      <c r="Z11" s="28"/>
      <c r="AA11" s="28"/>
      <c r="AB11" s="28"/>
      <c r="AC11" s="28"/>
      <c r="AD11" s="28"/>
      <c r="AE11" s="28">
        <f>AE8*' KF OECD total'!H86</f>
        <v>813.50429060884051</v>
      </c>
      <c r="AF11" s="28"/>
      <c r="AG11" s="29">
        <f t="shared" si="3"/>
        <v>142.9590917078541</v>
      </c>
      <c r="AH11" s="29">
        <f>-(C11*Emissionsfaktorer!$B$2+D11*Emissionsfaktorer!$B$3+E11*Emissionsfaktorer!$B$4+F11*Emissionsfaktorer!$B$5+G11*Emissionsfaktorer!$B$6+H11*Emissionsfaktorer!$B$7+I11*Emissionsfaktorer!$B$8+J11*Emissionsfaktorer!$B$9+K11*Emissionsfaktorer!$B$10+L11*Emissionsfaktorer!$B$11+M11*Emissionsfaktorer!$B$12)</f>
        <v>37.536136990291055</v>
      </c>
    </row>
    <row r="12" spans="1:34" x14ac:dyDescent="0.35">
      <c r="C12" s="26"/>
      <c r="D12" s="26">
        <f>-X12/T12*' KF OECD total'!H130</f>
        <v>-48706.06890924777</v>
      </c>
      <c r="E12" s="25"/>
      <c r="F12" s="26"/>
      <c r="G12" s="26"/>
      <c r="H12" s="26"/>
      <c r="I12" s="26"/>
      <c r="J12" s="27">
        <f>-X12/T12*' KF OECD total'!H131</f>
        <v>0</v>
      </c>
      <c r="K12" s="25"/>
      <c r="L12" s="25"/>
      <c r="M12" s="25"/>
      <c r="N12" s="23">
        <f t="shared" si="0"/>
        <v>-48706.06890924777</v>
      </c>
      <c r="O12" s="6" t="s">
        <v>70</v>
      </c>
      <c r="P12" s="64" t="s">
        <v>71</v>
      </c>
      <c r="Q12" s="69" t="s">
        <v>63</v>
      </c>
      <c r="R12" s="69"/>
      <c r="S12" s="24">
        <f t="shared" si="1"/>
        <v>47859.688967480077</v>
      </c>
      <c r="T12" s="37">
        <f>' KF OECD total'!H107</f>
        <v>0.98262270060544776</v>
      </c>
      <c r="U12" s="61"/>
      <c r="V12" s="28"/>
      <c r="W12" s="28"/>
      <c r="X12" s="28">
        <f>-(E9+E10+E11+E13+E14)</f>
        <v>47859.688967480077</v>
      </c>
      <c r="Y12" s="28"/>
      <c r="Z12" s="28"/>
      <c r="AA12" s="28"/>
      <c r="AB12" s="28"/>
      <c r="AC12" s="28"/>
      <c r="AD12" s="28"/>
      <c r="AE12" s="28"/>
      <c r="AF12" s="28"/>
      <c r="AG12" s="29">
        <f>-(S12+N12)</f>
        <v>846.3799417676928</v>
      </c>
      <c r="AH12" s="29">
        <f>J12*Emissionsfaktorer!B4</f>
        <v>0</v>
      </c>
    </row>
    <row r="13" spans="1:34" x14ac:dyDescent="0.35">
      <c r="C13" s="28">
        <f>N13*' KF OECD total'!H79</f>
        <v>-721.88244764427077</v>
      </c>
      <c r="D13" s="28">
        <f>N13*' KF OECD total'!H81</f>
        <v>-3.9163387894142092</v>
      </c>
      <c r="E13" s="28">
        <f>N13*' KF OECD total'!H82</f>
        <v>-4400.4246660697791</v>
      </c>
      <c r="F13" s="28">
        <f>N13*' KF OECD total'!H80</f>
        <v>-6100.9077691947523</v>
      </c>
      <c r="G13" s="28"/>
      <c r="H13" s="28"/>
      <c r="I13" s="28"/>
      <c r="J13" s="36">
        <f>N13*' KF OECD total'!H83</f>
        <v>-38.767353634538409</v>
      </c>
      <c r="K13" s="28">
        <f>N13*' KF OECD total'!H77</f>
        <v>-3166.8219512109258</v>
      </c>
      <c r="L13" s="28">
        <f>N13*' KF OECD total'!H78</f>
        <v>-361.31525617842777</v>
      </c>
      <c r="M13" s="25"/>
      <c r="N13" s="23">
        <f>N16*' KF OECD total'!H75</f>
        <v>-14794.035782722109</v>
      </c>
      <c r="O13" s="6" t="s">
        <v>72</v>
      </c>
      <c r="P13" s="64" t="s">
        <v>73</v>
      </c>
      <c r="Q13" s="69" t="s">
        <v>63</v>
      </c>
      <c r="R13" s="69"/>
      <c r="S13" s="24">
        <f t="shared" si="1"/>
        <v>0</v>
      </c>
      <c r="T13" s="37">
        <v>0</v>
      </c>
      <c r="U13" s="61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9">
        <f>-(S13+N13)</f>
        <v>14794.035782722109</v>
      </c>
      <c r="AH13" s="29">
        <f>-(C13*Emissionsfaktorer!$B$2+D13*Emissionsfaktorer!$B$3+E13*Emissionsfaktorer!$B$4+F13*Emissionsfaktorer!$B$5+G13*Emissionsfaktorer!$B$6+H13*Emissionsfaktorer!$B$7+I13*Emissionsfaktorer!$B$8+J13*Emissionsfaktorer!$B$9+K13*Emissionsfaktorer!$B$10+L13*Emissionsfaktorer!$B$11+M13*Emissionsfaktorer!$B$12)</f>
        <v>750.76284999160976</v>
      </c>
    </row>
    <row r="14" spans="1:34" x14ac:dyDescent="0.35">
      <c r="C14" s="15"/>
      <c r="D14" s="15"/>
      <c r="E14" s="16">
        <f>-X14*1</f>
        <v>-41199.343766471975</v>
      </c>
      <c r="F14" s="15"/>
      <c r="G14" s="15"/>
      <c r="H14" s="15"/>
      <c r="I14" s="15"/>
      <c r="J14" s="20"/>
      <c r="K14" s="16">
        <f>-AD14*(1+' KF OECD total'!H72)</f>
        <v>-49415.143867918312</v>
      </c>
      <c r="L14" s="16">
        <f>-AE14*(1+' KF OECD total'!H73)</f>
        <v>-2866.6472167015741</v>
      </c>
      <c r="M14" s="16"/>
      <c r="N14" s="23">
        <f t="shared" si="0"/>
        <v>-93481.134851091861</v>
      </c>
      <c r="O14" s="22" t="s">
        <v>74</v>
      </c>
      <c r="P14" s="66" t="s">
        <v>75</v>
      </c>
      <c r="Q14" s="70"/>
      <c r="R14" s="70"/>
      <c r="S14" s="24">
        <f t="shared" si="1"/>
        <v>90253.808879025542</v>
      </c>
      <c r="T14" s="37"/>
      <c r="U14" s="61"/>
      <c r="V14" s="16"/>
      <c r="W14" s="16"/>
      <c r="X14" s="16">
        <f>-E16</f>
        <v>41199.343766471975</v>
      </c>
      <c r="Y14" s="16"/>
      <c r="Z14" s="16"/>
      <c r="AA14" s="16"/>
      <c r="AB14" s="16"/>
      <c r="AC14" s="16"/>
      <c r="AD14" s="16">
        <f>-K16</f>
        <v>46453.279681022097</v>
      </c>
      <c r="AE14" s="16">
        <f>-L16</f>
        <v>2601.1854315314722</v>
      </c>
      <c r="AF14" s="16"/>
      <c r="AG14" s="21">
        <f>-(N14+S14)</f>
        <v>3227.3259720663191</v>
      </c>
      <c r="AH14" s="21"/>
    </row>
    <row r="15" spans="1:34" x14ac:dyDescent="0.35"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23">
        <f t="shared" si="0"/>
        <v>0</v>
      </c>
      <c r="O15" s="22" t="s">
        <v>76</v>
      </c>
      <c r="P15" s="67" t="s">
        <v>77</v>
      </c>
      <c r="Q15" s="66"/>
      <c r="R15" s="66"/>
      <c r="S15" s="24">
        <f t="shared" si="1"/>
        <v>454.89125451875702</v>
      </c>
      <c r="T15" s="37"/>
      <c r="U15" s="61"/>
      <c r="V15" s="14"/>
      <c r="W15" s="14"/>
      <c r="X15" s="14"/>
      <c r="Y15" s="14"/>
      <c r="Z15" s="14"/>
      <c r="AA15" s="14"/>
      <c r="AB15" s="14">
        <f>I16*-1</f>
        <v>454.89125451875702</v>
      </c>
      <c r="AC15" s="14"/>
      <c r="AD15" s="14"/>
      <c r="AE15" s="14"/>
      <c r="AF15" s="14"/>
      <c r="AG15" s="14"/>
      <c r="AH15" s="14"/>
    </row>
    <row r="16" spans="1:34" x14ac:dyDescent="0.35">
      <c r="C16" s="14">
        <f t="shared" ref="C16:M16" si="4">SUM(C17:C19)</f>
        <v>-1360.6236601654061</v>
      </c>
      <c r="D16" s="14">
        <f t="shared" si="4"/>
        <v>-1.6492148843234578</v>
      </c>
      <c r="E16" s="14">
        <f t="shared" si="4"/>
        <v>-41199.343766471975</v>
      </c>
      <c r="F16" s="14">
        <f t="shared" si="4"/>
        <v>-31413.898619597057</v>
      </c>
      <c r="G16" s="14">
        <f t="shared" si="4"/>
        <v>0</v>
      </c>
      <c r="H16" s="14">
        <f t="shared" si="4"/>
        <v>0</v>
      </c>
      <c r="I16" s="14">
        <f t="shared" si="4"/>
        <v>-454.89125451875702</v>
      </c>
      <c r="J16" s="14">
        <f t="shared" si="4"/>
        <v>-8588.2796461278413</v>
      </c>
      <c r="K16" s="14">
        <f t="shared" si="4"/>
        <v>-46453.279681022097</v>
      </c>
      <c r="L16" s="14">
        <f t="shared" si="4"/>
        <v>-2601.1854315314722</v>
      </c>
      <c r="M16" s="14">
        <f t="shared" si="4"/>
        <v>0</v>
      </c>
      <c r="N16" s="23">
        <f>' KF OECD total'!H5</f>
        <v>-150000</v>
      </c>
      <c r="O16" s="10" t="s">
        <v>78</v>
      </c>
      <c r="P16" s="71" t="s">
        <v>79</v>
      </c>
      <c r="Q16" s="71"/>
      <c r="R16" s="71"/>
      <c r="S16" s="24">
        <f t="shared" si="1"/>
        <v>95517.015494720545</v>
      </c>
      <c r="T16" s="37"/>
      <c r="U16" s="61"/>
      <c r="V16" s="14"/>
      <c r="W16" s="14"/>
      <c r="X16" s="14"/>
      <c r="Y16" s="14"/>
      <c r="Z16" s="14"/>
      <c r="AA16" s="14"/>
      <c r="AB16" s="14"/>
      <c r="AC16" s="14"/>
      <c r="AD16" s="14"/>
      <c r="AE16" s="14"/>
      <c r="AF16" s="14">
        <f>SUM(AF17:AF19)</f>
        <v>95517.015494720545</v>
      </c>
      <c r="AG16" s="14">
        <f t="shared" ref="AG16:AH16" si="5">SUM(AG17:AG19)</f>
        <v>36556.135779598371</v>
      </c>
      <c r="AH16" s="14">
        <f t="shared" si="5"/>
        <v>5051.0015952846152</v>
      </c>
    </row>
    <row r="17" spans="3:34" x14ac:dyDescent="0.35">
      <c r="C17" s="25">
        <f>AF17*' KF OECD total'!H15/T17*' KF OECD total'!H139/' KF OECD total'!H$139*-1</f>
        <v>-720.92390640781468</v>
      </c>
      <c r="D17" s="25">
        <f>AF17*' KF OECD total'!H16/T17*' KF OECD total'!H139/' KF OECD total'!H$139*-1</f>
        <v>-1.6492148843234578</v>
      </c>
      <c r="E17" s="25">
        <f>AF17*' KF OECD total'!H17/T17*' KF OECD total'!H139/' KF OECD total'!H$139*-1</f>
        <v>-4038.9706520998402</v>
      </c>
      <c r="F17" s="25">
        <f>AF17*' KF OECD total'!H18/T17*' KF OECD total'!H139/' KF OECD total'!H$139*-1</f>
        <v>-12264.863891580013</v>
      </c>
      <c r="G17" s="25"/>
      <c r="H17" s="25"/>
      <c r="I17" s="25">
        <f>AF17*' KF OECD total'!H19/T17*' KF OECD total'!H142/' KF OECD total'!H$142*-1</f>
        <v>-20.5717856623505</v>
      </c>
      <c r="J17" s="25">
        <f>AF17*' KF OECD total'!H20*' KF OECD total'!H139/T17/' KF OECD total'!H$139*-1</f>
        <v>-3541.7323644763183</v>
      </c>
      <c r="K17" s="25">
        <f>AF17*' KF OECD total'!H21*' KF OECD total'!H141/T17/' KF OECD total'!H$141*-1</f>
        <v>-14363.533232273308</v>
      </c>
      <c r="L17" s="25">
        <f>AF17*' KF OECD total'!H22*' KF OECD total'!H142/T17/' KF OECD total'!H$142*-1</f>
        <v>-1093.950273006765</v>
      </c>
      <c r="M17" s="25"/>
      <c r="N17" s="23">
        <f>SUM(C17:L17)</f>
        <v>-36046.195320390725</v>
      </c>
      <c r="O17" s="6" t="s">
        <v>80</v>
      </c>
      <c r="P17" s="64" t="s">
        <v>81</v>
      </c>
      <c r="Q17" s="69" t="s">
        <v>79</v>
      </c>
      <c r="R17" s="69"/>
      <c r="S17" s="24">
        <f t="shared" si="1"/>
        <v>31214.390652887407</v>
      </c>
      <c r="T17" s="37">
        <f>(' KF OECD total'!H15+' KF OECD total'!H16+' KF OECD total'!H17+' KF OECD total'!H18+' KF OECD total'!H20)*' KF OECD total'!H139+(' KF OECD total'!H19+' KF OECD total'!H22)*' KF OECD total'!H142+' KF OECD total'!H21*' KF OECD total'!H141</f>
        <v>0.86595521040274526</v>
      </c>
      <c r="U17" s="61"/>
      <c r="V17" s="25"/>
      <c r="W17" s="25"/>
      <c r="X17" s="25"/>
      <c r="Y17" s="25"/>
      <c r="Z17" s="25"/>
      <c r="AA17" s="25"/>
      <c r="AB17" s="25"/>
      <c r="AC17" s="25"/>
      <c r="AD17" s="25"/>
      <c r="AE17" s="25"/>
      <c r="AF17" s="25">
        <f>' KF OECD total'!H5*' KF OECD total'!H7*((' KF OECD total'!G15+' KF OECD total'!G16+' KF OECD total'!G17+' KF OECD total'!G18+' KF OECD total'!G20)*' KF OECD total'!G139+(' KF OECD total'!G19+' KF OECD total'!G22)*' KF OECD total'!G142+' KF OECD total'!G21*' KF OECD total'!G141)*-1</f>
        <v>31214.390652887407</v>
      </c>
      <c r="AG17" s="25">
        <f>(S17+SUM(C17:M17))*-1</f>
        <v>4831.8046675033183</v>
      </c>
      <c r="AH17" s="29">
        <f>-(C17*Emissionsfaktorer!$B$2+D17*Emissionsfaktorer!$B$3+E17*Emissionsfaktorer!$B$4+F17*Emissionsfaktorer!$B$5+G17*Emissionsfaktorer!$B$6+H17*Emissionsfaktorer!$B$7+I17*Emissionsfaktorer!$B$8+J17*Emissionsfaktorer!$B$9+K17*Emissionsfaktorer!$B$10+L17*Emissionsfaktorer!$B$11+M17*Emissionsfaktorer!$B$12)</f>
        <v>1074.5467824883908</v>
      </c>
    </row>
    <row r="18" spans="3:34" x14ac:dyDescent="0.35">
      <c r="C18" s="25">
        <f>AF18*' KF OECD total'!H24/T18*' KF OECD total'!H140/' KF OECD total'!H$140*-1</f>
        <v>-0.43429728012283925</v>
      </c>
      <c r="D18" s="25"/>
      <c r="E18" s="25">
        <f>AF18*' KF OECD total'!H25/T18*' KF OECD total'!H140/' KF OECD total'!H$140*-1</f>
        <v>-31098.785471225707</v>
      </c>
      <c r="F18" s="25">
        <f>AF18*' KF OECD total'!H26/T18*' KF OECD total'!H140/' KF OECD total'!H$140*-1</f>
        <v>-1029.0841089926107</v>
      </c>
      <c r="G18" s="25"/>
      <c r="H18" s="25"/>
      <c r="I18" s="25">
        <f>AF18*' KF OECD total'!H27/T18*' KF OECD total'!H142/' KF OECD total'!H$142*-1</f>
        <v>0</v>
      </c>
      <c r="J18" s="25">
        <f>AF18*' KF OECD total'!H28/T18*' KF OECD total'!H140/' KF OECD total'!H$140*-1</f>
        <v>-1931.1863747739208</v>
      </c>
      <c r="K18" s="25">
        <f>AF18*' KF OECD total'!H29/T18*' KF OECD total'!H141/' KF OECD total'!H$141*-1</f>
        <v>-8514.872563068091</v>
      </c>
      <c r="L18" s="25">
        <f>AF18*' KF OECD total'!H30/T18*' KF OECD total'!H142/' KF OECD total'!H$142*-1</f>
        <v>0</v>
      </c>
      <c r="M18" s="25"/>
      <c r="N18" s="23">
        <f>SUM(C18:L18)</f>
        <v>-42574.362815340457</v>
      </c>
      <c r="O18" s="6" t="s">
        <v>82</v>
      </c>
      <c r="P18" s="64" t="s">
        <v>83</v>
      </c>
      <c r="Q18" s="69" t="s">
        <v>79</v>
      </c>
      <c r="R18" s="69"/>
      <c r="S18" s="24">
        <f t="shared" si="1"/>
        <v>18306.976010596394</v>
      </c>
      <c r="T18" s="37">
        <f>(' KF OECD total'!H24+' KF OECD total'!H25+' KF OECD total'!H26+' KF OECD total'!H28)*' KF OECD total'!H140+(' KF OECD total'!H27+' KF OECD total'!H30)*' KF OECD total'!H142+' KF OECD total'!H29*' KF OECD total'!H141</f>
        <v>0.43</v>
      </c>
      <c r="U18" s="61"/>
      <c r="V18" s="25"/>
      <c r="W18" s="25"/>
      <c r="X18" s="25"/>
      <c r="Y18" s="25"/>
      <c r="Z18" s="25"/>
      <c r="AA18" s="25"/>
      <c r="AB18" s="25"/>
      <c r="AC18" s="25"/>
      <c r="AD18" s="25"/>
      <c r="AE18" s="25"/>
      <c r="AF18" s="25">
        <f>' KF OECD total'!H5*' KF OECD total'!H8*-1*((' KF OECD total'!G24+' KF OECD total'!G25+' KF OECD total'!G26+' KF OECD total'!G28)*' KF OECD total'!G140+(' KF OECD total'!G27+' KF OECD total'!G30)*' KF OECD total'!G142+' KF OECD total'!G29*' KF OECD total'!G141)</f>
        <v>18306.976010596394</v>
      </c>
      <c r="AG18" s="25">
        <f>(S18+SUM(C18:M18))*-1</f>
        <v>24267.386804744063</v>
      </c>
      <c r="AH18" s="29">
        <f>-(C18*Emissionsfaktorer!$B$2+D18*Emissionsfaktorer!$B$3+E18*Emissionsfaktorer!$B$4+F18*Emissionsfaktorer!$B$5+G18*Emissionsfaktorer!$B$6+H18*Emissionsfaktorer!$B$7+I18*Emissionsfaktorer!$B$8+J18*Emissionsfaktorer!$B$9+K18*Emissionsfaktorer!$B$10+L18*Emissionsfaktorer!$B$11+M18*Emissionsfaktorer!$B$12)</f>
        <v>2422.2067482673438</v>
      </c>
    </row>
    <row r="19" spans="3:34" x14ac:dyDescent="0.35">
      <c r="C19" s="25">
        <f>SUM(C20:C24)</f>
        <v>-639.26545647746866</v>
      </c>
      <c r="D19" s="25">
        <f t="shared" ref="D19:M19" si="6">SUM(D20:D24)</f>
        <v>0</v>
      </c>
      <c r="E19" s="25">
        <f t="shared" si="6"/>
        <v>-6061.5876431464267</v>
      </c>
      <c r="F19" s="25">
        <f t="shared" si="6"/>
        <v>-18119.950619024436</v>
      </c>
      <c r="G19" s="25">
        <f t="shared" si="6"/>
        <v>0</v>
      </c>
      <c r="H19" s="25">
        <f t="shared" si="6"/>
        <v>0</v>
      </c>
      <c r="I19" s="25">
        <f t="shared" si="6"/>
        <v>-434.3194688564065</v>
      </c>
      <c r="J19" s="25">
        <f t="shared" si="6"/>
        <v>-3115.3609068776013</v>
      </c>
      <c r="K19" s="25">
        <f t="shared" si="6"/>
        <v>-23574.873885680696</v>
      </c>
      <c r="L19" s="25">
        <f t="shared" si="6"/>
        <v>-1507.235158524707</v>
      </c>
      <c r="M19" s="25">
        <f t="shared" si="6"/>
        <v>0</v>
      </c>
      <c r="N19" s="23">
        <f>SUM(N20:N24)</f>
        <v>-53452.593138587741</v>
      </c>
      <c r="O19" s="6" t="s">
        <v>84</v>
      </c>
      <c r="P19" s="64" t="s">
        <v>85</v>
      </c>
      <c r="Q19" s="69" t="s">
        <v>79</v>
      </c>
      <c r="R19" s="69"/>
      <c r="S19" s="24">
        <f t="shared" si="1"/>
        <v>45995.648831236751</v>
      </c>
      <c r="T19" s="37">
        <v>0.8</v>
      </c>
      <c r="U19" s="61"/>
      <c r="V19" s="25">
        <f>SUM(V20:V24)</f>
        <v>0</v>
      </c>
      <c r="W19" s="25">
        <f t="shared" ref="W19:AH19" si="7">SUM(W20:W24)</f>
        <v>0</v>
      </c>
      <c r="X19" s="25">
        <f t="shared" si="7"/>
        <v>0</v>
      </c>
      <c r="Y19" s="25">
        <f t="shared" si="7"/>
        <v>0</v>
      </c>
      <c r="Z19" s="25">
        <f t="shared" si="7"/>
        <v>0</v>
      </c>
      <c r="AA19" s="25">
        <f t="shared" si="7"/>
        <v>0</v>
      </c>
      <c r="AB19" s="25">
        <f t="shared" si="7"/>
        <v>0</v>
      </c>
      <c r="AC19" s="25">
        <f t="shared" si="7"/>
        <v>0</v>
      </c>
      <c r="AD19" s="25">
        <f t="shared" si="7"/>
        <v>0</v>
      </c>
      <c r="AE19" s="25">
        <f t="shared" si="7"/>
        <v>0</v>
      </c>
      <c r="AF19" s="25">
        <f t="shared" si="7"/>
        <v>45995.648831236751</v>
      </c>
      <c r="AG19" s="25">
        <f t="shared" si="7"/>
        <v>7456.9443073509883</v>
      </c>
      <c r="AH19" s="25">
        <f t="shared" si="7"/>
        <v>1554.2480645288808</v>
      </c>
    </row>
    <row r="20" spans="3:34" x14ac:dyDescent="0.35">
      <c r="C20" s="92">
        <f>AF20*' KF OECD total'!H$32/T20*' KF OECD total'!H$139/' KF OECD total'!H$139*-1</f>
        <v>-457.39570254684168</v>
      </c>
      <c r="D20" s="92"/>
      <c r="E20" s="92">
        <f>AF20*' KF OECD total'!H33/T20*' KF OECD total'!H$140/' KF OECD total'!H$140*-1</f>
        <v>-2891.5712030758664</v>
      </c>
      <c r="F20" s="92">
        <f>AF20*' KF OECD total'!H$34/T20*' KF OECD total'!H$140/' KF OECD total'!H$140*-1</f>
        <v>-10962.756689884662</v>
      </c>
      <c r="G20" s="92"/>
      <c r="H20" s="92"/>
      <c r="I20" s="92">
        <f>AF20*' KF OECD total'!H$35/T20*' KF OECD total'!H$142/' KF OECD total'!H$142*-1</f>
        <v>-289.07113597535601</v>
      </c>
      <c r="J20" s="92">
        <f>AF20*' KF OECD total'!H$36/T20*' KF OECD total'!H$140/' KF OECD total'!H$140*-1</f>
        <v>-2608.2323559158854</v>
      </c>
      <c r="K20" s="92">
        <f>AF20*' KF OECD total'!H$37/T20*' KF OECD total'!H$141/' KF OECD total'!H$141*-1</f>
        <v>-10642.117020504629</v>
      </c>
      <c r="L20" s="92">
        <f>AF20*' KF OECD total'!H$38/T20*' KF OECD total'!H$142/' KF OECD total'!H$142*-1</f>
        <v>-945.45915025594127</v>
      </c>
      <c r="M20" s="92"/>
      <c r="N20" s="23">
        <f>SUM(C20:L20)</f>
        <v>-28796.603258159183</v>
      </c>
      <c r="O20" s="84" t="s">
        <v>86</v>
      </c>
      <c r="P20" s="85" t="s">
        <v>87</v>
      </c>
      <c r="Q20" s="86" t="s">
        <v>85</v>
      </c>
      <c r="R20" s="86"/>
      <c r="S20" s="24">
        <f t="shared" si="1"/>
        <v>24880.506216849299</v>
      </c>
      <c r="T20" s="37">
        <f>(' KF OECD total'!H32+' KF OECD total'!H33+' KF OECD total'!H34+' KF OECD total'!H36)*' KF OECD total'!H139+(' KF OECD total'!H35+' KF OECD total'!H38)*' KF OECD total'!H142+' KF OECD total'!H37*' KF OECD total'!H141</f>
        <v>0.86400836910511991</v>
      </c>
      <c r="U20" s="61"/>
      <c r="V20" s="92"/>
      <c r="W20" s="92"/>
      <c r="X20" s="92"/>
      <c r="Y20" s="92"/>
      <c r="Z20" s="92"/>
      <c r="AA20" s="92"/>
      <c r="AB20" s="92"/>
      <c r="AC20" s="92"/>
      <c r="AD20" s="92"/>
      <c r="AE20" s="92"/>
      <c r="AF20" s="92">
        <f>' KF OECD total'!H5*' KF OECD total'!H9*((' KF OECD total'!G32+' KF OECD total'!G33+' KF OECD total'!G34+' KF OECD total'!G36)*' KF OECD total'!G139+(' KF OECD total'!G35+' KF OECD total'!G38)*' KF OECD total'!G142+' KF OECD total'!G37*' KF OECD total'!G141)*-1</f>
        <v>24880.506216849299</v>
      </c>
      <c r="AG20" s="92">
        <f>(N20+AF20)*-1</f>
        <v>3916.0970413098839</v>
      </c>
      <c r="AH20" s="87">
        <f>-(C20*Emissionsfaktorer!$B$2+D20*Emissionsfaktorer!$B$3+E20*Emissionsfaktorer!$B$4+F20*Emissionsfaktorer!$B$5+G20*Emissionsfaktorer!$B$6+H20*Emissionsfaktorer!$B$7+I20*Emissionsfaktorer!$B$8+J20*Emissionsfaktorer!$B$9+K20*Emissionsfaktorer!$B$10+L20*Emissionsfaktorer!$B$11+M20*Emissionsfaktorer!$B$12)</f>
        <v>888.08913449914155</v>
      </c>
    </row>
    <row r="21" spans="3:34" x14ac:dyDescent="0.35">
      <c r="C21" s="92">
        <f>AF21*' KF OECD total'!H$40/T21*' KF OECD total'!H$139/' KF OECD total'!H$139*-1</f>
        <v>-153.48527749973886</v>
      </c>
      <c r="D21" s="92"/>
      <c r="E21" s="92">
        <f>AF21*' KF OECD total'!H41/T21*' KF OECD total'!H$140/' KF OECD total'!H$140*-1</f>
        <v>-1871.3938880472745</v>
      </c>
      <c r="F21" s="92">
        <f>AF21*' KF OECD total'!H$42/T21*' KF OECD total'!H$140/' KF OECD total'!H$140*-1</f>
        <v>-6984.9882480500437</v>
      </c>
      <c r="G21" s="92"/>
      <c r="H21" s="92"/>
      <c r="I21" s="92">
        <f>AF21*' KF OECD total'!H$43/T21*' KF OECD total'!H$142/' KF OECD total'!H$142*-1</f>
        <v>-120.21839969302941</v>
      </c>
      <c r="J21" s="92">
        <f>AF21*' KF OECD total'!H$44/T21*' KF OECD total'!H$140/' KF OECD total'!H$140*-1</f>
        <v>-394.71414540500507</v>
      </c>
      <c r="K21" s="92">
        <f>AF21*' KF OECD total'!H$45/T21*' KF OECD total'!H$141/' KF OECD total'!H$141*-1</f>
        <v>-11594.739022223677</v>
      </c>
      <c r="L21" s="92">
        <f>AF21*' KF OECD total'!H$46/T21*' KF OECD total'!H$142/' KF OECD total'!H$142*-1</f>
        <v>-551.19168175508287</v>
      </c>
      <c r="M21" s="92"/>
      <c r="N21" s="23">
        <f t="shared" ref="N21:N24" si="8">SUM(C21:L21)</f>
        <v>-21670.730662673854</v>
      </c>
      <c r="O21" s="84" t="s">
        <v>88</v>
      </c>
      <c r="P21" s="85" t="s">
        <v>89</v>
      </c>
      <c r="Q21" s="86" t="s">
        <v>85</v>
      </c>
      <c r="R21" s="86"/>
      <c r="S21" s="24">
        <f t="shared" si="1"/>
        <v>19210.077399762256</v>
      </c>
      <c r="T21" s="37">
        <f>(' KF OECD total'!H40+' KF OECD total'!H41+' KF OECD total'!H42+' KF OECD total'!H44)*' KF OECD total'!H139+(' KF OECD total'!H43+' KF OECD total'!H46)*' KF OECD total'!H142+' KF OECD total'!H45*' KF OECD total'!H141</f>
        <v>0.88645268582706904</v>
      </c>
      <c r="U21" s="61"/>
      <c r="V21" s="92"/>
      <c r="W21" s="92"/>
      <c r="X21" s="92"/>
      <c r="Y21" s="92"/>
      <c r="Z21" s="92"/>
      <c r="AA21" s="92"/>
      <c r="AB21" s="92"/>
      <c r="AC21" s="92"/>
      <c r="AD21" s="92"/>
      <c r="AE21" s="92"/>
      <c r="AF21" s="92">
        <f>' KF OECD total'!H5*' KF OECD total'!H10*((' KF OECD total'!G40+' KF OECD total'!G41+' KF OECD total'!G42+' KF OECD total'!G44)*' KF OECD total'!G139+(' KF OECD total'!G43+' KF OECD total'!G46)*' KF OECD total'!G142+' KF OECD total'!G45*' KF OECD total'!G141)*-1</f>
        <v>19210.077399762256</v>
      </c>
      <c r="AG21" s="92">
        <f t="shared" ref="AG21:AG24" si="9">(N21+AF21)*-1</f>
        <v>2460.6532629115973</v>
      </c>
      <c r="AH21" s="87">
        <f>-(C21*Emissionsfaktorer!$B$2+D21*Emissionsfaktorer!$B$3+E21*Emissionsfaktorer!$B$4+F21*Emissionsfaktorer!$B$5+G21*Emissionsfaktorer!$B$6+H21*Emissionsfaktorer!$B$7+I21*Emissionsfaktorer!$B$8+J21*Emissionsfaktorer!$B$9+K21*Emissionsfaktorer!$B$10+L21*Emissionsfaktorer!$B$11+M21*Emissionsfaktorer!$B$12)</f>
        <v>554.95136699292061</v>
      </c>
    </row>
    <row r="22" spans="3:34" x14ac:dyDescent="0.35">
      <c r="C22" s="92">
        <f>AF22*' KF OECD total'!H$48/T22*' KF OECD total'!H$139/' KF OECD total'!H$139*-1</f>
        <v>-21.696133042706059</v>
      </c>
      <c r="D22" s="92"/>
      <c r="E22" s="92">
        <f>AF22*' KF OECD total'!H49/T22*' KF OECD total'!H$140/' KF OECD total'!H$140*-1</f>
        <v>-968.07136514087313</v>
      </c>
      <c r="F22" s="92">
        <f>AF22*' KF OECD total'!H$50/T22*' KF OECD total'!H$140/' KF OECD total'!H$140*-1</f>
        <v>-124.24315814967301</v>
      </c>
      <c r="G22" s="92"/>
      <c r="H22" s="92"/>
      <c r="I22" s="92">
        <f>AF22*' KF OECD total'!H$51/T22*' KF OECD total'!H$142/' KF OECD total'!H$142*-1</f>
        <v>-17.417453782191004</v>
      </c>
      <c r="J22" s="92">
        <f>AF22*' KF OECD total'!H$52/T22*' KF OECD total'!H$140/' KF OECD total'!H$140*-1</f>
        <v>-87.289093404375521</v>
      </c>
      <c r="K22" s="92">
        <f>AF22*' KF OECD total'!H$53/T22*' KF OECD total'!H$141/' KF OECD total'!H$141*-1</f>
        <v>-276.41882618874627</v>
      </c>
      <c r="L22" s="92">
        <f>AF22*' KF OECD total'!H$54/T22*' KF OECD total'!H$142/' KF OECD total'!H$142*-1</f>
        <v>-4.8639702914345673</v>
      </c>
      <c r="M22" s="92"/>
      <c r="N22" s="23">
        <f t="shared" si="8"/>
        <v>-1499.9999999999993</v>
      </c>
      <c r="O22" s="84" t="s">
        <v>90</v>
      </c>
      <c r="P22" s="85" t="s">
        <v>91</v>
      </c>
      <c r="Q22" s="86" t="s">
        <v>85</v>
      </c>
      <c r="R22" s="86"/>
      <c r="S22" s="24">
        <f t="shared" si="1"/>
        <v>645.26923387422278</v>
      </c>
      <c r="T22" s="37">
        <f>(' KF OECD total'!H48+' KF OECD total'!H49+' KF OECD total'!H50+' KF OECD total'!H52)*' KF OECD total'!H140+(' KF OECD total'!H51+' KF OECD total'!H54)*' KF OECD total'!H142+' KF OECD total'!H53*' KF OECD total'!H141</f>
        <v>0.43017948924948196</v>
      </c>
      <c r="U22" s="61"/>
      <c r="V22" s="92"/>
      <c r="W22" s="92"/>
      <c r="X22" s="92"/>
      <c r="Y22" s="92"/>
      <c r="Z22" s="92"/>
      <c r="AA22" s="92"/>
      <c r="AB22" s="92"/>
      <c r="AC22" s="92"/>
      <c r="AD22" s="92"/>
      <c r="AE22" s="92"/>
      <c r="AF22" s="92">
        <f>((' KF OECD total'!G48+' KF OECD total'!G49+' KF OECD total'!G50+' KF OECD total'!G52)*' KF OECD total'!G140+(' KF OECD total'!G51+' KF OECD total'!G54)*' KF OECD total'!G142+' KF OECD total'!G53*' KF OECD total'!G141)*' KF OECD total'!H11*' KF OECD total'!H5*-1</f>
        <v>645.26923387422278</v>
      </c>
      <c r="AG22" s="92">
        <f t="shared" si="9"/>
        <v>854.73076612577654</v>
      </c>
      <c r="AH22" s="87">
        <f>-(C22*Emissionsfaktorer!$B$2+D22*Emissionsfaktorer!$B$3+E22*Emissionsfaktorer!$B$4+F22*Emissionsfaktorer!$B$5+G22*Emissionsfaktorer!$B$6+H22*Emissionsfaktorer!$B$7+I22*Emissionsfaktorer!$B$8+J22*Emissionsfaktorer!$B$9+K22*Emissionsfaktorer!$B$10+L22*Emissionsfaktorer!$B$11+M22*Emissionsfaktorer!$B$12)</f>
        <v>82.71641640429479</v>
      </c>
    </row>
    <row r="23" spans="3:34" x14ac:dyDescent="0.35">
      <c r="C23" s="92">
        <f>AF23*' KF OECD total'!H$56/T23*' KF OECD total'!H$139/' KF OECD total'!H$139*-1</f>
        <v>-4.400380662263155E-2</v>
      </c>
      <c r="D23" s="92"/>
      <c r="E23" s="92">
        <f>AF23*' KF OECD total'!H57/T23*' KF OECD total'!H$140/' KF OECD total'!H$140*-1</f>
        <v>-177.77537875543149</v>
      </c>
      <c r="F23" s="92">
        <f>AF23*' KF OECD total'!H$58/T23*' KF OECD total'!H$140/' KF OECD total'!H$140*-1</f>
        <v>-2.0241751046410514</v>
      </c>
      <c r="G23" s="92"/>
      <c r="H23" s="92"/>
      <c r="I23" s="92">
        <f>AF23*' KF OECD total'!H$59/T23*' KF OECD total'!H$142/' KF OECD total'!H$142*-1</f>
        <v>-2.5522207841126301</v>
      </c>
      <c r="J23" s="92">
        <f>AF23*' KF OECD total'!H$60/T23*' KF OECD total'!H$140/' KF OECD total'!H$140*-1</f>
        <v>-0.79206851920736809</v>
      </c>
      <c r="K23" s="92">
        <f>AF23*' KF OECD total'!H$61/T23*' KF OECD total'!H$141/' KF OECD total'!H$141*-1</f>
        <v>-21.473857631844208</v>
      </c>
      <c r="L23" s="92">
        <f>AF23*' KF OECD total'!H$62/T23*' KF OECD total'!H$142/' KF OECD total'!H$142*-1</f>
        <v>-1.8041560715278937</v>
      </c>
      <c r="M23" s="92"/>
      <c r="N23" s="23">
        <f t="shared" si="8"/>
        <v>-206.46586067338725</v>
      </c>
      <c r="O23" s="84" t="s">
        <v>92</v>
      </c>
      <c r="P23" s="85" t="s">
        <v>93</v>
      </c>
      <c r="Q23" s="86" t="s">
        <v>85</v>
      </c>
      <c r="R23" s="86"/>
      <c r="S23" s="24">
        <f t="shared" si="1"/>
        <v>78.947229461663269</v>
      </c>
      <c r="T23" s="37">
        <f>(' KF OECD total'!H56+' KF OECD total'!H57+' KF OECD total'!H58+' KF OECD total'!H60)*' KF OECD total'!H140+(' KF OECD total'!H59+' KF OECD total'!H62)*' KF OECD total'!H142+' KF OECD total'!H61*' KF OECD total'!H141</f>
        <v>0.38237425404944586</v>
      </c>
      <c r="U23" s="61"/>
      <c r="V23" s="92"/>
      <c r="W23" s="92"/>
      <c r="X23" s="92"/>
      <c r="Y23" s="92"/>
      <c r="Z23" s="92"/>
      <c r="AA23" s="92"/>
      <c r="AB23" s="92"/>
      <c r="AC23" s="92"/>
      <c r="AD23" s="92"/>
      <c r="AE23" s="92"/>
      <c r="AF23" s="92">
        <f>((' KF OECD total'!G56+' KF OECD total'!G57+' KF OECD total'!G58+' KF OECD total'!G60)*' KF OECD total'!G140+(' KF OECD total'!G59+' KF OECD total'!G62)*' KF OECD total'!G142+' KF OECD total'!G61*' KF OECD total'!G141)*' KF OECD total'!H5*' KF OECD total'!H12*-1</f>
        <v>78.947229461663269</v>
      </c>
      <c r="AG23" s="92">
        <f t="shared" si="9"/>
        <v>127.51863121172399</v>
      </c>
      <c r="AH23" s="87">
        <f>-(C23*Emissionsfaktorer!$B$2+D23*Emissionsfaktorer!$B$3+E23*Emissionsfaktorer!$B$4+F23*Emissionsfaktorer!$B$5+G23*Emissionsfaktorer!$B$6+H23*Emissionsfaktorer!$B$7+I23*Emissionsfaktorer!$B$8+J23*Emissionsfaktorer!$B$9+K23*Emissionsfaktorer!$B$10+L23*Emissionsfaktorer!$B$11+M23*Emissionsfaktorer!$B$12)</f>
        <v>13.630487128006482</v>
      </c>
    </row>
    <row r="24" spans="3:34" x14ac:dyDescent="0.35">
      <c r="C24" s="92">
        <f>AF24*' KF OECD total'!H$64/T24*' KF OECD total'!H$139/' KF OECD total'!H$139*-1</f>
        <v>-6.6443395815593931</v>
      </c>
      <c r="D24" s="92"/>
      <c r="E24" s="92">
        <f>AF24*' KF OECD total'!H65/T24*' KF OECD total'!H$140/' KF OECD total'!H$140*-1</f>
        <v>-152.77580812698156</v>
      </c>
      <c r="F24" s="92">
        <f>AF24*' KF OECD total'!H$66/T24*' KF OECD total'!H$140/' KF OECD total'!H$140*-1</f>
        <v>-45.938347835417254</v>
      </c>
      <c r="G24" s="92"/>
      <c r="H24" s="92"/>
      <c r="I24" s="92">
        <f>AF24*' KF OECD total'!H$67/T24*' KF OECD total'!H$142/' KF OECD total'!H$142*-1</f>
        <v>-5.060258621717419</v>
      </c>
      <c r="J24" s="92">
        <f>AF24*' KF OECD total'!H$68/T24*' KF OECD total'!H$140/' KF OECD total'!H$140*-1</f>
        <v>-24.333243633128109</v>
      </c>
      <c r="K24" s="92">
        <f>AF24*' KF OECD total'!H$69/T24*' KF OECD total'!H$141/' KF OECD total'!H$141*-1</f>
        <v>-1040.1251591317944</v>
      </c>
      <c r="L24" s="92">
        <f>AF24*' KF OECD total'!H$70/T24*' KF OECD total'!H$142/' KF OECD total'!H$142*-1</f>
        <v>-3.9162001507204369</v>
      </c>
      <c r="M24" s="92"/>
      <c r="N24" s="23">
        <f t="shared" si="8"/>
        <v>-1278.7933570813186</v>
      </c>
      <c r="O24" s="84" t="s">
        <v>94</v>
      </c>
      <c r="P24" s="85" t="s">
        <v>95</v>
      </c>
      <c r="Q24" s="86" t="s">
        <v>85</v>
      </c>
      <c r="R24" s="86"/>
      <c r="S24" s="24">
        <f t="shared" si="1"/>
        <v>1180.8487512893114</v>
      </c>
      <c r="T24" s="37">
        <f>(' KF OECD total'!H64+' KF OECD total'!H65+' KF OECD total'!H66+' KF OECD total'!H68)*' KF OECD total'!H139+(' KF OECD total'!H67+' KF OECD total'!H70)*' KF OECD total'!H142+' KF OECD total'!H69*' KF OECD total'!H141</f>
        <v>0.92340857477117888</v>
      </c>
      <c r="U24" s="61"/>
      <c r="V24" s="92"/>
      <c r="W24" s="92"/>
      <c r="X24" s="92"/>
      <c r="Y24" s="92"/>
      <c r="Z24" s="92"/>
      <c r="AA24" s="92"/>
      <c r="AB24" s="92"/>
      <c r="AC24" s="92"/>
      <c r="AD24" s="92"/>
      <c r="AE24" s="92"/>
      <c r="AF24" s="92">
        <f>((' KF OECD total'!G64+' KF OECD total'!G65+' KF OECD total'!G66+' KF OECD total'!G68)*' KF OECD total'!G139+(' KF OECD total'!G67+' KF OECD total'!G70)*' KF OECD total'!G142+' KF OECD total'!G69*' KF OECD total'!G141)*' KF OECD total'!H5*' KF OECD total'!H13*-1</f>
        <v>1180.8487512893114</v>
      </c>
      <c r="AG24" s="92">
        <f t="shared" si="9"/>
        <v>97.944605792007223</v>
      </c>
      <c r="AH24" s="87">
        <f>-(C24*Emissionsfaktorer!$B$2+D24*Emissionsfaktorer!$B$3+E24*Emissionsfaktorer!$B$4+F24*Emissionsfaktorer!$B$5+G24*Emissionsfaktorer!$B$6+H24*Emissionsfaktorer!$B$7+I24*Emissionsfaktorer!$B$8+J24*Emissionsfaktorer!$B$9+K24*Emissionsfaktorer!$B$10+L24*Emissionsfaktorer!$B$11+M24*Emissionsfaktorer!$B$12)</f>
        <v>14.860659504517525</v>
      </c>
    </row>
    <row r="25" spans="3:34" x14ac:dyDescent="0.35"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23">
        <f>N16</f>
        <v>-150000</v>
      </c>
      <c r="O25" s="10" t="s">
        <v>11</v>
      </c>
      <c r="P25" s="71" t="s">
        <v>96</v>
      </c>
      <c r="Q25" s="71"/>
      <c r="R25" s="71"/>
      <c r="S25" s="24">
        <f t="shared" si="1"/>
        <v>95517.015494720545</v>
      </c>
      <c r="T25" s="37">
        <f>AF25/N25*-1</f>
        <v>0.63678010329813695</v>
      </c>
      <c r="U25" s="61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>
        <f>AF16</f>
        <v>95517.015494720545</v>
      </c>
      <c r="AG25" s="14">
        <f>-(S25+N25)</f>
        <v>54482.984505279455</v>
      </c>
      <c r="AH25" s="14"/>
    </row>
    <row r="28" spans="3:34" x14ac:dyDescent="0.35">
      <c r="X28" s="95"/>
    </row>
    <row r="29" spans="3:34" x14ac:dyDescent="0.35">
      <c r="C29" s="40"/>
      <c r="X29" s="95"/>
    </row>
    <row r="30" spans="3:34" x14ac:dyDescent="0.35">
      <c r="X30" s="95"/>
    </row>
    <row r="31" spans="3:34" x14ac:dyDescent="0.35">
      <c r="E31" s="40"/>
    </row>
  </sheetData>
  <pageMargins left="0.7" right="0.7" top="0.75" bottom="0.75" header="0.3" footer="0.3"/>
  <pageSetup paperSize="9" orientation="portrait" horizontalDpi="4294967293" verticalDpi="4294967293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Ark99"/>
  <dimension ref="A1:L32"/>
  <sheetViews>
    <sheetView workbookViewId="0">
      <selection activeCell="A3" sqref="A3:L30"/>
    </sheetView>
  </sheetViews>
  <sheetFormatPr defaultRowHeight="14.5" x14ac:dyDescent="0.35"/>
  <cols>
    <col min="1" max="1" width="30" customWidth="1"/>
    <col min="2" max="2" width="11.54296875" customWidth="1"/>
    <col min="3" max="3" width="12" customWidth="1"/>
    <col min="4" max="4" width="14.54296875" customWidth="1"/>
    <col min="5" max="5" width="14.1796875" customWidth="1"/>
    <col min="8" max="8" width="22.81640625" customWidth="1"/>
    <col min="9" max="9" width="21.81640625" customWidth="1"/>
    <col min="10" max="10" width="13.81640625" customWidth="1"/>
    <col min="11" max="11" width="12.26953125" customWidth="1"/>
    <col min="12" max="12" width="11.81640625" customWidth="1"/>
  </cols>
  <sheetData>
    <row r="1" spans="1:12" x14ac:dyDescent="0.35">
      <c r="B1" t="s">
        <v>214</v>
      </c>
      <c r="C1" t="s">
        <v>2</v>
      </c>
      <c r="D1" t="s">
        <v>215</v>
      </c>
      <c r="E1" t="s">
        <v>216</v>
      </c>
      <c r="F1" t="s">
        <v>5</v>
      </c>
      <c r="G1" t="s">
        <v>6</v>
      </c>
      <c r="H1" t="s">
        <v>217</v>
      </c>
      <c r="I1" t="s">
        <v>8</v>
      </c>
      <c r="J1" t="s">
        <v>9</v>
      </c>
      <c r="K1" t="s">
        <v>10</v>
      </c>
      <c r="L1" t="s">
        <v>218</v>
      </c>
    </row>
    <row r="2" spans="1:12" x14ac:dyDescent="0.35">
      <c r="B2" t="s">
        <v>219</v>
      </c>
      <c r="C2" t="s">
        <v>219</v>
      </c>
      <c r="D2" t="s">
        <v>219</v>
      </c>
      <c r="E2" t="s">
        <v>219</v>
      </c>
      <c r="F2" t="s">
        <v>219</v>
      </c>
      <c r="G2" t="s">
        <v>219</v>
      </c>
      <c r="H2" t="s">
        <v>219</v>
      </c>
      <c r="I2" t="s">
        <v>219</v>
      </c>
      <c r="J2" t="s">
        <v>219</v>
      </c>
      <c r="K2" t="s">
        <v>219</v>
      </c>
      <c r="L2" t="s">
        <v>219</v>
      </c>
    </row>
    <row r="3" spans="1:12" x14ac:dyDescent="0.35">
      <c r="A3" t="s">
        <v>17</v>
      </c>
      <c r="B3" s="7">
        <v>1985909</v>
      </c>
      <c r="C3" s="7">
        <v>3091402</v>
      </c>
      <c r="D3" s="7"/>
      <c r="E3" s="7">
        <v>1462436</v>
      </c>
      <c r="F3" s="7">
        <v>106114</v>
      </c>
      <c r="G3" s="7">
        <v>140293</v>
      </c>
      <c r="H3" s="7">
        <v>29739</v>
      </c>
      <c r="I3" s="7">
        <v>874175</v>
      </c>
      <c r="J3" s="7"/>
      <c r="K3" s="7">
        <v>201</v>
      </c>
      <c r="L3" s="7">
        <v>7690268</v>
      </c>
    </row>
    <row r="4" spans="1:12" x14ac:dyDescent="0.35">
      <c r="A4" t="s">
        <v>220</v>
      </c>
      <c r="B4" s="7">
        <v>150979</v>
      </c>
      <c r="C4" s="7">
        <v>614685</v>
      </c>
      <c r="D4" s="7">
        <v>358307</v>
      </c>
      <c r="E4" s="7">
        <v>151634</v>
      </c>
      <c r="F4" s="7"/>
      <c r="G4" s="7"/>
      <c r="H4" s="7"/>
      <c r="I4" s="7">
        <v>219</v>
      </c>
      <c r="J4" s="7">
        <v>16018</v>
      </c>
      <c r="K4" s="7"/>
      <c r="L4" s="7">
        <v>1291841</v>
      </c>
    </row>
    <row r="5" spans="1:12" x14ac:dyDescent="0.35">
      <c r="A5" t="s">
        <v>221</v>
      </c>
      <c r="B5" s="7">
        <v>-303696</v>
      </c>
      <c r="C5" s="7">
        <v>-1866563</v>
      </c>
      <c r="D5" s="7">
        <v>-577446</v>
      </c>
      <c r="E5" s="7">
        <v>-469699</v>
      </c>
      <c r="F5" s="7"/>
      <c r="G5" s="7"/>
      <c r="H5" s="7"/>
      <c r="I5" s="7">
        <v>-1904</v>
      </c>
      <c r="J5" s="7">
        <v>-17604</v>
      </c>
      <c r="K5" s="7"/>
      <c r="L5" s="7">
        <v>-3236913</v>
      </c>
    </row>
    <row r="6" spans="1:12" x14ac:dyDescent="0.35">
      <c r="A6" t="s">
        <v>222</v>
      </c>
      <c r="B6" s="7"/>
      <c r="C6" s="7"/>
      <c r="D6" s="7">
        <v>-81474</v>
      </c>
      <c r="E6" s="7"/>
      <c r="F6" s="7"/>
      <c r="G6" s="7"/>
      <c r="H6" s="7"/>
      <c r="I6" s="7"/>
      <c r="J6" s="7"/>
      <c r="K6" s="7"/>
      <c r="L6" s="7">
        <v>-81474</v>
      </c>
    </row>
    <row r="7" spans="1:12" x14ac:dyDescent="0.35">
      <c r="A7" t="s">
        <v>223</v>
      </c>
      <c r="B7" s="7"/>
      <c r="C7" s="7"/>
      <c r="D7" s="7">
        <v>-53835</v>
      </c>
      <c r="E7" s="7"/>
      <c r="F7" s="7"/>
      <c r="G7" s="7"/>
      <c r="H7" s="7"/>
      <c r="I7" s="7"/>
      <c r="J7" s="7"/>
      <c r="K7" s="7"/>
      <c r="L7" s="7">
        <v>-53835</v>
      </c>
    </row>
    <row r="8" spans="1:12" x14ac:dyDescent="0.35">
      <c r="A8" t="s">
        <v>224</v>
      </c>
      <c r="B8" s="7">
        <v>8189</v>
      </c>
      <c r="C8" s="7">
        <v>5542</v>
      </c>
      <c r="D8" s="7">
        <v>8081</v>
      </c>
      <c r="E8" s="7">
        <v>-2842</v>
      </c>
      <c r="F8" s="7"/>
      <c r="G8" s="7"/>
      <c r="H8" s="7"/>
      <c r="I8" s="7">
        <v>254</v>
      </c>
      <c r="J8" s="7"/>
      <c r="K8" s="7"/>
      <c r="L8" s="7">
        <v>19223</v>
      </c>
    </row>
    <row r="9" spans="1:12" x14ac:dyDescent="0.35">
      <c r="A9" t="s">
        <v>225</v>
      </c>
      <c r="B9" s="7">
        <v>1841381</v>
      </c>
      <c r="C9" s="7">
        <v>1845066</v>
      </c>
      <c r="D9" s="7">
        <v>-346367</v>
      </c>
      <c r="E9" s="7">
        <v>1141528</v>
      </c>
      <c r="F9" s="7">
        <v>106114</v>
      </c>
      <c r="G9" s="7">
        <v>140293</v>
      </c>
      <c r="H9" s="7">
        <v>29739</v>
      </c>
      <c r="I9" s="7">
        <v>872744</v>
      </c>
      <c r="J9" s="7">
        <v>-1587</v>
      </c>
      <c r="K9" s="7">
        <v>201</v>
      </c>
      <c r="L9" s="7">
        <v>5629111</v>
      </c>
    </row>
    <row r="10" spans="1:12" x14ac:dyDescent="0.35">
      <c r="A10" t="s">
        <v>226</v>
      </c>
      <c r="B10" s="7"/>
      <c r="C10" s="7">
        <v>-99838</v>
      </c>
      <c r="D10" s="7">
        <v>105645</v>
      </c>
      <c r="E10" s="7"/>
      <c r="F10" s="7"/>
      <c r="G10" s="7"/>
      <c r="H10" s="7"/>
      <c r="I10" s="7"/>
      <c r="J10" s="7"/>
      <c r="K10" s="7"/>
      <c r="L10" s="7">
        <v>5807</v>
      </c>
    </row>
    <row r="11" spans="1:12" x14ac:dyDescent="0.35">
      <c r="A11" t="s">
        <v>227</v>
      </c>
      <c r="B11" s="7">
        <v>24284</v>
      </c>
      <c r="C11" s="7">
        <v>-682</v>
      </c>
      <c r="D11" s="7">
        <v>8564</v>
      </c>
      <c r="E11" s="7">
        <v>3068</v>
      </c>
      <c r="F11" s="7"/>
      <c r="G11" s="7"/>
      <c r="H11" s="7"/>
      <c r="I11" s="7">
        <v>380</v>
      </c>
      <c r="J11" s="7">
        <v>1273</v>
      </c>
      <c r="K11" s="7">
        <v>4</v>
      </c>
      <c r="L11" s="7">
        <v>36891</v>
      </c>
    </row>
    <row r="12" spans="1:12" x14ac:dyDescent="0.35">
      <c r="A12" t="s">
        <v>228</v>
      </c>
      <c r="B12" s="7">
        <v>-564214</v>
      </c>
      <c r="C12" s="7">
        <v>-14628</v>
      </c>
      <c r="D12" s="7">
        <v>-127331</v>
      </c>
      <c r="E12" s="7">
        <v>-265332</v>
      </c>
      <c r="F12" s="7">
        <v>-105791</v>
      </c>
      <c r="G12" s="7">
        <v>-140293</v>
      </c>
      <c r="H12" s="7">
        <v>-24178</v>
      </c>
      <c r="I12" s="7">
        <v>-8845</v>
      </c>
      <c r="J12" s="7">
        <v>510267</v>
      </c>
      <c r="K12" s="7">
        <v>-201</v>
      </c>
      <c r="L12" s="7">
        <v>-740545</v>
      </c>
    </row>
    <row r="13" spans="1:12" x14ac:dyDescent="0.35">
      <c r="A13" t="s">
        <v>66</v>
      </c>
      <c r="B13" s="7">
        <v>-378741</v>
      </c>
      <c r="C13" s="7">
        <v>-4</v>
      </c>
      <c r="D13" s="7">
        <v>-13709</v>
      </c>
      <c r="E13" s="7">
        <v>-179323</v>
      </c>
      <c r="F13" s="7">
        <v>-323</v>
      </c>
      <c r="G13" s="7"/>
      <c r="H13" s="7"/>
      <c r="I13" s="7">
        <v>-5544</v>
      </c>
      <c r="J13" s="7">
        <v>156050</v>
      </c>
      <c r="K13" s="7">
        <v>140165</v>
      </c>
      <c r="L13" s="7">
        <v>-281429</v>
      </c>
    </row>
    <row r="14" spans="1:12" x14ac:dyDescent="0.35">
      <c r="A14" t="s">
        <v>229</v>
      </c>
      <c r="B14" s="7">
        <v>-18970</v>
      </c>
      <c r="C14" s="7">
        <v>-792</v>
      </c>
      <c r="D14" s="7">
        <v>-12162</v>
      </c>
      <c r="E14" s="7">
        <v>-84570</v>
      </c>
      <c r="F14" s="7"/>
      <c r="G14" s="7"/>
      <c r="H14" s="7">
        <v>-1</v>
      </c>
      <c r="I14" s="7">
        <v>-3229</v>
      </c>
      <c r="J14" s="7"/>
      <c r="K14" s="7">
        <v>108171</v>
      </c>
      <c r="L14" s="7">
        <v>-11551</v>
      </c>
    </row>
    <row r="15" spans="1:12" x14ac:dyDescent="0.35">
      <c r="A15" t="s">
        <v>230</v>
      </c>
      <c r="B15" s="7">
        <v>-7393</v>
      </c>
      <c r="C15" s="7"/>
      <c r="D15" s="7">
        <v>-964</v>
      </c>
      <c r="E15" s="7">
        <v>371</v>
      </c>
      <c r="F15" s="7"/>
      <c r="G15" s="7"/>
      <c r="H15" s="7"/>
      <c r="I15" s="7"/>
      <c r="J15" s="7"/>
      <c r="K15" s="7"/>
      <c r="L15" s="7">
        <v>-7985</v>
      </c>
    </row>
    <row r="16" spans="1:12" x14ac:dyDescent="0.35">
      <c r="A16" t="s">
        <v>70</v>
      </c>
      <c r="B16" s="7"/>
      <c r="C16" s="7">
        <v>-1713339</v>
      </c>
      <c r="D16" s="7">
        <v>1677801</v>
      </c>
      <c r="E16" s="7"/>
      <c r="F16" s="7"/>
      <c r="G16" s="7"/>
      <c r="H16" s="7"/>
      <c r="I16" s="7"/>
      <c r="J16" s="7"/>
      <c r="K16" s="7"/>
      <c r="L16" s="7">
        <v>-35538</v>
      </c>
    </row>
    <row r="17" spans="1:12" x14ac:dyDescent="0.35">
      <c r="A17" t="s">
        <v>231</v>
      </c>
      <c r="B17" s="7">
        <v>-135490</v>
      </c>
      <c r="C17" s="7"/>
      <c r="D17" s="7">
        <v>-559</v>
      </c>
      <c r="E17" s="7"/>
      <c r="F17" s="7"/>
      <c r="G17" s="7"/>
      <c r="H17" s="7"/>
      <c r="I17" s="7">
        <v>-5</v>
      </c>
      <c r="J17" s="7"/>
      <c r="K17" s="7"/>
      <c r="L17" s="7">
        <v>-136054</v>
      </c>
    </row>
    <row r="18" spans="1:12" x14ac:dyDescent="0.35">
      <c r="A18" t="s">
        <v>232</v>
      </c>
      <c r="B18" s="7">
        <v>-5835</v>
      </c>
      <c r="C18" s="7">
        <v>4481</v>
      </c>
      <c r="D18" s="7"/>
      <c r="E18" s="7">
        <v>-4346</v>
      </c>
      <c r="F18" s="7"/>
      <c r="G18" s="7"/>
      <c r="H18" s="7"/>
      <c r="I18" s="7"/>
      <c r="J18" s="7"/>
      <c r="K18" s="7"/>
      <c r="L18" s="7">
        <v>-5701</v>
      </c>
    </row>
    <row r="19" spans="1:12" x14ac:dyDescent="0.35">
      <c r="A19" t="s">
        <v>233</v>
      </c>
      <c r="B19" s="7">
        <v>-49</v>
      </c>
      <c r="C19" s="7">
        <v>3884</v>
      </c>
      <c r="D19" s="7">
        <v>-4903</v>
      </c>
      <c r="E19" s="7">
        <v>-2075</v>
      </c>
      <c r="F19" s="7"/>
      <c r="G19" s="7"/>
      <c r="H19" s="7"/>
      <c r="I19" s="7">
        <v>-58733</v>
      </c>
      <c r="J19" s="7"/>
      <c r="K19" s="7"/>
      <c r="L19" s="7">
        <v>-61877</v>
      </c>
    </row>
    <row r="20" spans="1:12" x14ac:dyDescent="0.35">
      <c r="A20" t="s">
        <v>234</v>
      </c>
      <c r="B20" s="7">
        <v>-54647</v>
      </c>
      <c r="C20" s="7">
        <v>-10060</v>
      </c>
      <c r="D20" s="7">
        <v>-86779</v>
      </c>
      <c r="E20" s="7">
        <v>-115216</v>
      </c>
      <c r="F20" s="7"/>
      <c r="G20" s="7"/>
      <c r="H20" s="7"/>
      <c r="I20" s="7">
        <v>-8365</v>
      </c>
      <c r="J20" s="7">
        <v>-67822</v>
      </c>
      <c r="K20" s="7">
        <v>-28812</v>
      </c>
      <c r="L20" s="7">
        <v>-371701</v>
      </c>
    </row>
    <row r="21" spans="1:12" x14ac:dyDescent="0.35">
      <c r="A21" t="s">
        <v>235</v>
      </c>
      <c r="B21" s="7">
        <v>-1742</v>
      </c>
      <c r="C21" s="7">
        <v>-6023</v>
      </c>
      <c r="D21" s="7">
        <v>-573</v>
      </c>
      <c r="E21" s="7">
        <v>-15368</v>
      </c>
      <c r="F21" s="7"/>
      <c r="G21" s="7"/>
      <c r="H21" s="7">
        <v>-1</v>
      </c>
      <c r="I21" s="7">
        <v>-192</v>
      </c>
      <c r="J21" s="7">
        <v>-80412</v>
      </c>
      <c r="K21" s="7">
        <v>-19655</v>
      </c>
      <c r="L21" s="7">
        <v>-123968</v>
      </c>
    </row>
    <row r="22" spans="1:12" x14ac:dyDescent="0.35">
      <c r="A22" t="s">
        <v>131</v>
      </c>
      <c r="B22" s="7">
        <v>698584</v>
      </c>
      <c r="C22" s="7">
        <v>8065</v>
      </c>
      <c r="D22" s="7">
        <v>1198663</v>
      </c>
      <c r="E22" s="7">
        <v>478736</v>
      </c>
      <c r="F22" s="7"/>
      <c r="G22" s="7"/>
      <c r="H22" s="7">
        <v>5559</v>
      </c>
      <c r="I22" s="7">
        <v>788212</v>
      </c>
      <c r="J22" s="7">
        <v>517768</v>
      </c>
      <c r="K22" s="7">
        <v>199873</v>
      </c>
      <c r="L22" s="7">
        <v>3895460</v>
      </c>
    </row>
    <row r="23" spans="1:12" x14ac:dyDescent="0.35">
      <c r="A23" t="s">
        <v>80</v>
      </c>
      <c r="B23" s="7">
        <v>547406</v>
      </c>
      <c r="C23" s="7">
        <v>4503</v>
      </c>
      <c r="D23" s="7">
        <v>179225</v>
      </c>
      <c r="E23" s="7">
        <v>183919</v>
      </c>
      <c r="F23" s="7"/>
      <c r="G23" s="7"/>
      <c r="H23" s="7">
        <v>103</v>
      </c>
      <c r="I23" s="7">
        <v>101348</v>
      </c>
      <c r="J23" s="7">
        <v>267157</v>
      </c>
      <c r="K23" s="7">
        <v>91610</v>
      </c>
      <c r="L23" s="7">
        <v>1375272</v>
      </c>
    </row>
    <row r="24" spans="1:12" x14ac:dyDescent="0.35">
      <c r="A24" t="s">
        <v>82</v>
      </c>
      <c r="B24" s="7">
        <v>70</v>
      </c>
      <c r="C24" s="7">
        <v>19</v>
      </c>
      <c r="D24" s="7">
        <v>605690</v>
      </c>
      <c r="E24" s="7">
        <v>52069</v>
      </c>
      <c r="F24" s="7"/>
      <c r="G24" s="7"/>
      <c r="H24" s="7"/>
      <c r="I24" s="7">
        <v>7828</v>
      </c>
      <c r="J24" s="7">
        <v>13498</v>
      </c>
      <c r="K24" s="7"/>
      <c r="L24" s="7">
        <v>679174</v>
      </c>
    </row>
    <row r="25" spans="1:12" x14ac:dyDescent="0.35">
      <c r="A25" t="s">
        <v>86</v>
      </c>
      <c r="B25" s="7">
        <v>65558</v>
      </c>
      <c r="C25" s="7"/>
      <c r="D25" s="7">
        <v>110189</v>
      </c>
      <c r="E25" s="7">
        <v>127673</v>
      </c>
      <c r="F25" s="7"/>
      <c r="G25" s="7"/>
      <c r="H25" s="7">
        <v>4003</v>
      </c>
      <c r="I25" s="7">
        <v>656593</v>
      </c>
      <c r="J25" s="7">
        <v>119263</v>
      </c>
      <c r="K25" s="7">
        <v>78527</v>
      </c>
      <c r="L25" s="7">
        <v>1161807</v>
      </c>
    </row>
    <row r="26" spans="1:12" x14ac:dyDescent="0.35">
      <c r="A26" t="s">
        <v>88</v>
      </c>
      <c r="B26" s="7">
        <v>21657</v>
      </c>
      <c r="C26" s="7">
        <v>31</v>
      </c>
      <c r="D26" s="7">
        <v>25187</v>
      </c>
      <c r="E26" s="7">
        <v>22183</v>
      </c>
      <c r="F26" s="7"/>
      <c r="G26" s="7"/>
      <c r="H26" s="7">
        <v>1009</v>
      </c>
      <c r="I26" s="7">
        <v>14885</v>
      </c>
      <c r="J26" s="7">
        <v>72881</v>
      </c>
      <c r="K26" s="7">
        <v>20415</v>
      </c>
      <c r="L26" s="7">
        <v>178249</v>
      </c>
    </row>
    <row r="27" spans="1:12" x14ac:dyDescent="0.35">
      <c r="A27" t="s">
        <v>90</v>
      </c>
      <c r="B27" s="7">
        <v>10835</v>
      </c>
      <c r="C27" s="7">
        <v>7</v>
      </c>
      <c r="D27" s="7">
        <v>57887</v>
      </c>
      <c r="E27" s="7">
        <v>1163</v>
      </c>
      <c r="F27" s="7"/>
      <c r="G27" s="7"/>
      <c r="H27" s="7">
        <v>302</v>
      </c>
      <c r="I27" s="7">
        <v>5699</v>
      </c>
      <c r="J27" s="7">
        <v>24776</v>
      </c>
      <c r="K27" s="7">
        <v>3455</v>
      </c>
      <c r="L27" s="7">
        <v>104123</v>
      </c>
    </row>
    <row r="28" spans="1:12" x14ac:dyDescent="0.35">
      <c r="A28" t="s">
        <v>92</v>
      </c>
      <c r="B28" s="7"/>
      <c r="C28" s="7"/>
      <c r="D28" s="7">
        <v>2283</v>
      </c>
      <c r="E28" s="7">
        <v>10</v>
      </c>
      <c r="F28" s="7"/>
      <c r="G28" s="7"/>
      <c r="H28" s="7"/>
      <c r="I28" s="7">
        <v>1</v>
      </c>
      <c r="J28" s="7">
        <v>117</v>
      </c>
      <c r="K28" s="7">
        <v>12</v>
      </c>
      <c r="L28" s="7">
        <v>2423</v>
      </c>
    </row>
    <row r="29" spans="1:12" x14ac:dyDescent="0.35">
      <c r="A29" t="s">
        <v>94</v>
      </c>
      <c r="B29" s="7">
        <v>26403</v>
      </c>
      <c r="C29" s="7"/>
      <c r="D29" s="7">
        <v>15341</v>
      </c>
      <c r="E29" s="7">
        <v>3636</v>
      </c>
      <c r="F29" s="7"/>
      <c r="G29" s="7"/>
      <c r="H29" s="7">
        <v>142</v>
      </c>
      <c r="I29" s="7">
        <v>1858</v>
      </c>
      <c r="J29" s="7">
        <v>20075</v>
      </c>
      <c r="K29" s="7">
        <v>5854</v>
      </c>
      <c r="L29" s="7">
        <v>73309</v>
      </c>
    </row>
    <row r="30" spans="1:12" x14ac:dyDescent="0.35">
      <c r="A30" t="s">
        <v>236</v>
      </c>
      <c r="B30" s="7">
        <v>26655</v>
      </c>
      <c r="C30" s="7">
        <v>3505</v>
      </c>
      <c r="D30" s="7">
        <v>202860</v>
      </c>
      <c r="E30" s="7">
        <v>88083</v>
      </c>
      <c r="F30" s="7"/>
      <c r="G30" s="7"/>
      <c r="H30" s="7"/>
      <c r="I30" s="7"/>
      <c r="J30" s="7"/>
      <c r="K30" s="7"/>
      <c r="L30" s="7">
        <v>321103</v>
      </c>
    </row>
    <row r="32" spans="1:12" x14ac:dyDescent="0.35">
      <c r="B32" s="7">
        <f>SUM(B9,B10:B21,B22*-1)</f>
        <v>0</v>
      </c>
      <c r="C32" s="7">
        <f t="shared" ref="C32:L32" si="0">SUM(C9,C10:C21,C22*-1)</f>
        <v>0</v>
      </c>
      <c r="D32" s="7">
        <f t="shared" si="0"/>
        <v>0</v>
      </c>
      <c r="E32" s="7">
        <f t="shared" si="0"/>
        <v>1</v>
      </c>
      <c r="F32" s="7">
        <f t="shared" si="0"/>
        <v>0</v>
      </c>
      <c r="G32" s="7">
        <f t="shared" si="0"/>
        <v>0</v>
      </c>
      <c r="H32" s="7">
        <f t="shared" si="0"/>
        <v>0</v>
      </c>
      <c r="I32" s="7">
        <f t="shared" si="0"/>
        <v>-1</v>
      </c>
      <c r="J32" s="7">
        <f t="shared" si="0"/>
        <v>1</v>
      </c>
      <c r="K32" s="7">
        <f t="shared" si="0"/>
        <v>0</v>
      </c>
      <c r="L32" s="7">
        <f t="shared" si="0"/>
        <v>0</v>
      </c>
    </row>
  </sheetData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Ark98"/>
  <dimension ref="A1:L32"/>
  <sheetViews>
    <sheetView workbookViewId="0">
      <selection activeCell="A3" sqref="A3:L30"/>
    </sheetView>
  </sheetViews>
  <sheetFormatPr defaultRowHeight="14.5" x14ac:dyDescent="0.35"/>
  <cols>
    <col min="1" max="1" width="30" customWidth="1"/>
    <col min="2" max="2" width="11.54296875" customWidth="1"/>
    <col min="3" max="3" width="12" customWidth="1"/>
    <col min="4" max="4" width="14.54296875" customWidth="1"/>
    <col min="5" max="5" width="14.1796875" customWidth="1"/>
    <col min="8" max="8" width="22.81640625" customWidth="1"/>
    <col min="9" max="9" width="21.81640625" customWidth="1"/>
    <col min="10" max="10" width="13.81640625" customWidth="1"/>
    <col min="11" max="11" width="12.26953125" customWidth="1"/>
    <col min="12" max="12" width="11.81640625" customWidth="1"/>
  </cols>
  <sheetData>
    <row r="1" spans="1:12" x14ac:dyDescent="0.35">
      <c r="B1" t="s">
        <v>214</v>
      </c>
      <c r="C1" t="s">
        <v>2</v>
      </c>
      <c r="D1" t="s">
        <v>215</v>
      </c>
      <c r="E1" t="s">
        <v>216</v>
      </c>
      <c r="F1" t="s">
        <v>5</v>
      </c>
      <c r="G1" t="s">
        <v>6</v>
      </c>
      <c r="H1" t="s">
        <v>217</v>
      </c>
      <c r="I1" t="s">
        <v>8</v>
      </c>
      <c r="J1" t="s">
        <v>9</v>
      </c>
      <c r="K1" t="s">
        <v>10</v>
      </c>
      <c r="L1" t="s">
        <v>218</v>
      </c>
    </row>
    <row r="2" spans="1:12" x14ac:dyDescent="0.35">
      <c r="B2" t="s">
        <v>219</v>
      </c>
      <c r="C2" t="s">
        <v>219</v>
      </c>
      <c r="D2" t="s">
        <v>219</v>
      </c>
      <c r="E2" t="s">
        <v>219</v>
      </c>
      <c r="F2" t="s">
        <v>219</v>
      </c>
      <c r="G2" t="s">
        <v>219</v>
      </c>
      <c r="H2" t="s">
        <v>219</v>
      </c>
      <c r="I2" t="s">
        <v>219</v>
      </c>
      <c r="J2" t="s">
        <v>219</v>
      </c>
      <c r="K2" t="s">
        <v>219</v>
      </c>
      <c r="L2" t="s">
        <v>219</v>
      </c>
    </row>
    <row r="3" spans="1:12" x14ac:dyDescent="0.35">
      <c r="A3" t="s">
        <v>17</v>
      </c>
      <c r="B3" s="7">
        <v>2665334</v>
      </c>
      <c r="C3" s="7">
        <v>3197129</v>
      </c>
      <c r="D3" s="7"/>
      <c r="E3" s="7">
        <v>1749195</v>
      </c>
      <c r="F3" s="7">
        <v>122328</v>
      </c>
      <c r="G3" s="7">
        <v>179684</v>
      </c>
      <c r="H3" s="7">
        <v>48668</v>
      </c>
      <c r="I3" s="7">
        <v>935007</v>
      </c>
      <c r="J3" s="7"/>
      <c r="K3" s="7">
        <v>309</v>
      </c>
      <c r="L3" s="7">
        <v>8897654</v>
      </c>
    </row>
    <row r="4" spans="1:12" x14ac:dyDescent="0.35">
      <c r="A4" t="s">
        <v>220</v>
      </c>
      <c r="B4" s="7">
        <v>301421</v>
      </c>
      <c r="C4" s="7">
        <v>732701</v>
      </c>
      <c r="D4" s="7">
        <v>544419</v>
      </c>
      <c r="E4" s="7">
        <v>177579</v>
      </c>
      <c r="F4" s="7"/>
      <c r="G4" s="7"/>
      <c r="H4" s="7"/>
      <c r="I4" s="7">
        <v>610</v>
      </c>
      <c r="J4" s="7">
        <v>16306</v>
      </c>
      <c r="K4" s="7"/>
      <c r="L4" s="7">
        <v>1773036</v>
      </c>
    </row>
    <row r="5" spans="1:12" x14ac:dyDescent="0.35">
      <c r="A5" t="s">
        <v>221</v>
      </c>
      <c r="B5" s="7">
        <v>-395989</v>
      </c>
      <c r="C5" s="7">
        <v>-1830313</v>
      </c>
      <c r="D5" s="7">
        <v>-644884</v>
      </c>
      <c r="E5" s="7">
        <v>-517480</v>
      </c>
      <c r="F5" s="7"/>
      <c r="G5" s="7"/>
      <c r="H5" s="7"/>
      <c r="I5" s="7">
        <v>-3714</v>
      </c>
      <c r="J5" s="7">
        <v>-18092</v>
      </c>
      <c r="K5" s="7"/>
      <c r="L5" s="7">
        <v>-3410474</v>
      </c>
    </row>
    <row r="6" spans="1:12" x14ac:dyDescent="0.35">
      <c r="A6" t="s">
        <v>222</v>
      </c>
      <c r="B6" s="7"/>
      <c r="C6" s="7"/>
      <c r="D6" s="7">
        <v>-114623</v>
      </c>
      <c r="E6" s="7"/>
      <c r="F6" s="7"/>
      <c r="G6" s="7"/>
      <c r="H6" s="7"/>
      <c r="I6" s="7"/>
      <c r="J6" s="7"/>
      <c r="K6" s="7"/>
      <c r="L6" s="7">
        <v>-114623</v>
      </c>
    </row>
    <row r="7" spans="1:12" x14ac:dyDescent="0.35">
      <c r="A7" t="s">
        <v>223</v>
      </c>
      <c r="B7" s="7"/>
      <c r="C7" s="7"/>
      <c r="D7" s="7">
        <v>-67013</v>
      </c>
      <c r="E7" s="7"/>
      <c r="F7" s="7"/>
      <c r="G7" s="7"/>
      <c r="H7" s="7"/>
      <c r="I7" s="7"/>
      <c r="J7" s="7"/>
      <c r="K7" s="7"/>
      <c r="L7" s="7">
        <v>-67013</v>
      </c>
    </row>
    <row r="8" spans="1:12" x14ac:dyDescent="0.35">
      <c r="A8" t="s">
        <v>224</v>
      </c>
      <c r="B8" s="7">
        <v>-13188</v>
      </c>
      <c r="C8" s="7">
        <v>-18939</v>
      </c>
      <c r="D8" s="7">
        <v>-3647</v>
      </c>
      <c r="E8" s="7">
        <v>3548</v>
      </c>
      <c r="F8" s="7"/>
      <c r="G8" s="7"/>
      <c r="H8" s="7"/>
      <c r="I8" s="7">
        <v>-742</v>
      </c>
      <c r="J8" s="7"/>
      <c r="K8" s="7"/>
      <c r="L8" s="7">
        <v>-32969</v>
      </c>
    </row>
    <row r="9" spans="1:12" x14ac:dyDescent="0.35">
      <c r="A9" t="s">
        <v>225</v>
      </c>
      <c r="B9" s="7">
        <v>2557577</v>
      </c>
      <c r="C9" s="7">
        <v>2080577</v>
      </c>
      <c r="D9" s="7">
        <v>-285748</v>
      </c>
      <c r="E9" s="7">
        <v>1412842</v>
      </c>
      <c r="F9" s="7">
        <v>122328</v>
      </c>
      <c r="G9" s="7">
        <v>179684</v>
      </c>
      <c r="H9" s="7">
        <v>48668</v>
      </c>
      <c r="I9" s="7">
        <v>931160</v>
      </c>
      <c r="J9" s="7">
        <v>-1787</v>
      </c>
      <c r="K9" s="7">
        <v>309</v>
      </c>
      <c r="L9" s="7">
        <v>7045612</v>
      </c>
    </row>
    <row r="10" spans="1:12" x14ac:dyDescent="0.35">
      <c r="A10" t="s">
        <v>226</v>
      </c>
      <c r="B10" s="7">
        <v>-354</v>
      </c>
      <c r="C10" s="7">
        <v>-105088</v>
      </c>
      <c r="D10" s="7">
        <v>113552</v>
      </c>
      <c r="E10" s="7"/>
      <c r="F10" s="7"/>
      <c r="G10" s="7"/>
      <c r="H10" s="7"/>
      <c r="I10" s="7">
        <v>-47</v>
      </c>
      <c r="J10" s="7"/>
      <c r="K10" s="7"/>
      <c r="L10" s="7">
        <v>8062</v>
      </c>
    </row>
    <row r="11" spans="1:12" x14ac:dyDescent="0.35">
      <c r="A11" t="s">
        <v>227</v>
      </c>
      <c r="B11" s="7">
        <v>-36878</v>
      </c>
      <c r="C11" s="7">
        <v>8472</v>
      </c>
      <c r="D11" s="7">
        <v>-9105</v>
      </c>
      <c r="E11" s="7">
        <v>-636</v>
      </c>
      <c r="F11" s="7"/>
      <c r="G11" s="7"/>
      <c r="H11" s="7"/>
      <c r="I11" s="7">
        <v>-1445</v>
      </c>
      <c r="J11" s="7">
        <v>-245</v>
      </c>
      <c r="K11" s="7">
        <v>-1375</v>
      </c>
      <c r="L11" s="7">
        <v>-41212</v>
      </c>
    </row>
    <row r="12" spans="1:12" x14ac:dyDescent="0.35">
      <c r="A12" t="s">
        <v>228</v>
      </c>
      <c r="B12" s="7">
        <v>-802016</v>
      </c>
      <c r="C12" s="7">
        <v>-29947</v>
      </c>
      <c r="D12" s="7">
        <v>-140865</v>
      </c>
      <c r="E12" s="7">
        <v>-352481</v>
      </c>
      <c r="F12" s="7">
        <v>-121803</v>
      </c>
      <c r="G12" s="7">
        <v>-179684</v>
      </c>
      <c r="H12" s="7">
        <v>-35559</v>
      </c>
      <c r="I12" s="7">
        <v>-27677</v>
      </c>
      <c r="J12" s="7">
        <v>707710</v>
      </c>
      <c r="K12" s="7">
        <v>-260</v>
      </c>
      <c r="L12" s="7">
        <v>-982582</v>
      </c>
    </row>
    <row r="13" spans="1:12" x14ac:dyDescent="0.35">
      <c r="A13" t="s">
        <v>66</v>
      </c>
      <c r="B13" s="7">
        <v>-471068</v>
      </c>
      <c r="C13" s="7">
        <v>-11</v>
      </c>
      <c r="D13" s="7">
        <v>-5817</v>
      </c>
      <c r="E13" s="7">
        <v>-199702</v>
      </c>
      <c r="F13" s="7">
        <v>-525</v>
      </c>
      <c r="G13" s="7"/>
      <c r="H13" s="7"/>
      <c r="I13" s="7">
        <v>-9390</v>
      </c>
      <c r="J13" s="7">
        <v>202821</v>
      </c>
      <c r="K13" s="7">
        <v>151933</v>
      </c>
      <c r="L13" s="7">
        <v>-331760</v>
      </c>
    </row>
    <row r="14" spans="1:12" x14ac:dyDescent="0.35">
      <c r="A14" t="s">
        <v>229</v>
      </c>
      <c r="B14" s="7">
        <v>-21752</v>
      </c>
      <c r="C14" s="7">
        <v>-809</v>
      </c>
      <c r="D14" s="7">
        <v>-13142</v>
      </c>
      <c r="E14" s="7">
        <v>-77567</v>
      </c>
      <c r="F14" s="7"/>
      <c r="G14" s="7"/>
      <c r="H14" s="7"/>
      <c r="I14" s="7">
        <v>-4329</v>
      </c>
      <c r="J14" s="7"/>
      <c r="K14" s="7">
        <v>106874</v>
      </c>
      <c r="L14" s="7">
        <v>-10724</v>
      </c>
    </row>
    <row r="15" spans="1:12" x14ac:dyDescent="0.35">
      <c r="A15" t="s">
        <v>230</v>
      </c>
      <c r="B15" s="7">
        <v>-2261</v>
      </c>
      <c r="C15" s="7"/>
      <c r="D15" s="7">
        <v>-294</v>
      </c>
      <c r="E15" s="7">
        <v>-60</v>
      </c>
      <c r="F15" s="7"/>
      <c r="G15" s="7"/>
      <c r="H15" s="7"/>
      <c r="I15" s="7">
        <v>-13</v>
      </c>
      <c r="J15" s="7"/>
      <c r="K15" s="7"/>
      <c r="L15" s="7">
        <v>-2629</v>
      </c>
    </row>
    <row r="16" spans="1:12" x14ac:dyDescent="0.35">
      <c r="A16" t="s">
        <v>70</v>
      </c>
      <c r="B16" s="7"/>
      <c r="C16" s="7">
        <v>-1931507</v>
      </c>
      <c r="D16" s="7">
        <v>1886936</v>
      </c>
      <c r="E16" s="7"/>
      <c r="F16" s="7"/>
      <c r="G16" s="7"/>
      <c r="H16" s="7"/>
      <c r="I16" s="7"/>
      <c r="J16" s="7"/>
      <c r="K16" s="7"/>
      <c r="L16" s="7">
        <v>-44570</v>
      </c>
    </row>
    <row r="17" spans="1:12" x14ac:dyDescent="0.35">
      <c r="A17" t="s">
        <v>231</v>
      </c>
      <c r="B17" s="7">
        <v>-183442</v>
      </c>
      <c r="C17" s="7"/>
      <c r="D17" s="7">
        <v>-1166</v>
      </c>
      <c r="E17" s="7"/>
      <c r="F17" s="7"/>
      <c r="G17" s="7"/>
      <c r="H17" s="7"/>
      <c r="I17" s="7">
        <v>-25</v>
      </c>
      <c r="J17" s="7"/>
      <c r="K17" s="7"/>
      <c r="L17" s="7">
        <v>-184633</v>
      </c>
    </row>
    <row r="18" spans="1:12" x14ac:dyDescent="0.35">
      <c r="A18" t="s">
        <v>232</v>
      </c>
      <c r="B18" s="7">
        <v>-6415</v>
      </c>
      <c r="C18" s="7">
        <v>6534</v>
      </c>
      <c r="D18" s="7"/>
      <c r="E18" s="7">
        <v>-6854</v>
      </c>
      <c r="F18" s="7"/>
      <c r="G18" s="7"/>
      <c r="H18" s="7"/>
      <c r="I18" s="7"/>
      <c r="J18" s="7"/>
      <c r="K18" s="7"/>
      <c r="L18" s="7">
        <v>-6735</v>
      </c>
    </row>
    <row r="19" spans="1:12" x14ac:dyDescent="0.35">
      <c r="A19" t="s">
        <v>233</v>
      </c>
      <c r="B19" s="7">
        <v>-57</v>
      </c>
      <c r="C19" s="7">
        <v>4234</v>
      </c>
      <c r="D19" s="7">
        <v>-4191</v>
      </c>
      <c r="E19" s="7">
        <v>-1780</v>
      </c>
      <c r="F19" s="7"/>
      <c r="G19" s="7"/>
      <c r="H19" s="7"/>
      <c r="I19" s="7">
        <v>-64710</v>
      </c>
      <c r="J19" s="7"/>
      <c r="K19" s="7"/>
      <c r="L19" s="7">
        <v>-66504</v>
      </c>
    </row>
    <row r="20" spans="1:12" x14ac:dyDescent="0.35">
      <c r="A20" t="s">
        <v>234</v>
      </c>
      <c r="B20" s="7">
        <v>-97637</v>
      </c>
      <c r="C20" s="7">
        <v>-9314</v>
      </c>
      <c r="D20" s="7">
        <v>-94724</v>
      </c>
      <c r="E20" s="7">
        <v>-134950</v>
      </c>
      <c r="F20" s="7"/>
      <c r="G20" s="7"/>
      <c r="H20" s="7">
        <v>-1</v>
      </c>
      <c r="I20" s="7">
        <v>-12995</v>
      </c>
      <c r="J20" s="7">
        <v>-87020</v>
      </c>
      <c r="K20" s="7">
        <v>-31800</v>
      </c>
      <c r="L20" s="7">
        <v>-468442</v>
      </c>
    </row>
    <row r="21" spans="1:12" x14ac:dyDescent="0.35">
      <c r="A21" t="s">
        <v>235</v>
      </c>
      <c r="B21" s="7">
        <v>-2293</v>
      </c>
      <c r="C21" s="7">
        <v>-8160</v>
      </c>
      <c r="D21" s="7">
        <v>-731</v>
      </c>
      <c r="E21" s="7">
        <v>-21195</v>
      </c>
      <c r="F21" s="7"/>
      <c r="G21" s="7"/>
      <c r="H21" s="7">
        <v>-2</v>
      </c>
      <c r="I21" s="7">
        <v>-132</v>
      </c>
      <c r="J21" s="7">
        <v>-93822</v>
      </c>
      <c r="K21" s="7">
        <v>-15052</v>
      </c>
      <c r="L21" s="7">
        <v>-141386</v>
      </c>
    </row>
    <row r="22" spans="1:12" x14ac:dyDescent="0.35">
      <c r="A22" t="s">
        <v>131</v>
      </c>
      <c r="B22" s="7">
        <v>933403</v>
      </c>
      <c r="C22" s="7">
        <v>14980</v>
      </c>
      <c r="D22" s="7">
        <v>1444704</v>
      </c>
      <c r="E22" s="7">
        <v>617618</v>
      </c>
      <c r="F22" s="7"/>
      <c r="G22" s="7"/>
      <c r="H22" s="7">
        <v>13106</v>
      </c>
      <c r="I22" s="7">
        <v>810397</v>
      </c>
      <c r="J22" s="7">
        <v>727657</v>
      </c>
      <c r="K22" s="7">
        <v>210630</v>
      </c>
      <c r="L22" s="7">
        <v>4772495</v>
      </c>
    </row>
    <row r="23" spans="1:12" x14ac:dyDescent="0.35">
      <c r="A23" t="s">
        <v>80</v>
      </c>
      <c r="B23" s="7">
        <v>770657</v>
      </c>
      <c r="C23" s="7">
        <v>9371</v>
      </c>
      <c r="D23" s="7">
        <v>196967</v>
      </c>
      <c r="E23" s="7">
        <v>248883</v>
      </c>
      <c r="F23" s="7"/>
      <c r="G23" s="7"/>
      <c r="H23" s="7">
        <v>170</v>
      </c>
      <c r="I23" s="7">
        <v>116116</v>
      </c>
      <c r="J23" s="7">
        <v>380284</v>
      </c>
      <c r="K23" s="7">
        <v>99257</v>
      </c>
      <c r="L23" s="7">
        <v>1821705</v>
      </c>
    </row>
    <row r="24" spans="1:12" x14ac:dyDescent="0.35">
      <c r="A24" t="s">
        <v>82</v>
      </c>
      <c r="B24" s="7">
        <v>78</v>
      </c>
      <c r="C24" s="7">
        <v>5</v>
      </c>
      <c r="D24" s="7">
        <v>772024</v>
      </c>
      <c r="E24" s="7">
        <v>66210</v>
      </c>
      <c r="F24" s="7"/>
      <c r="G24" s="7"/>
      <c r="H24" s="7"/>
      <c r="I24" s="7">
        <v>18128</v>
      </c>
      <c r="J24" s="7">
        <v>16866</v>
      </c>
      <c r="K24" s="7"/>
      <c r="L24" s="7">
        <v>873311</v>
      </c>
    </row>
    <row r="25" spans="1:12" x14ac:dyDescent="0.35">
      <c r="A25" t="s">
        <v>86</v>
      </c>
      <c r="B25" s="7">
        <v>60712</v>
      </c>
      <c r="C25" s="7"/>
      <c r="D25" s="7">
        <v>109309</v>
      </c>
      <c r="E25" s="7">
        <v>157336</v>
      </c>
      <c r="F25" s="7"/>
      <c r="G25" s="7"/>
      <c r="H25" s="7">
        <v>9998</v>
      </c>
      <c r="I25" s="7">
        <v>651722</v>
      </c>
      <c r="J25" s="7">
        <v>166925</v>
      </c>
      <c r="K25" s="7">
        <v>81396</v>
      </c>
      <c r="L25" s="7">
        <v>1237398</v>
      </c>
    </row>
    <row r="26" spans="1:12" x14ac:dyDescent="0.35">
      <c r="A26" t="s">
        <v>88</v>
      </c>
      <c r="B26" s="7">
        <v>25024</v>
      </c>
      <c r="C26" s="7">
        <v>20</v>
      </c>
      <c r="D26" s="7">
        <v>31925</v>
      </c>
      <c r="E26" s="7">
        <v>31981</v>
      </c>
      <c r="F26" s="7"/>
      <c r="G26" s="7"/>
      <c r="H26" s="7">
        <v>1995</v>
      </c>
      <c r="I26" s="7">
        <v>16611</v>
      </c>
      <c r="J26" s="7">
        <v>103089</v>
      </c>
      <c r="K26" s="7">
        <v>21128</v>
      </c>
      <c r="L26" s="7">
        <v>231772</v>
      </c>
    </row>
    <row r="27" spans="1:12" x14ac:dyDescent="0.35">
      <c r="A27" t="s">
        <v>90</v>
      </c>
      <c r="B27" s="7">
        <v>11821</v>
      </c>
      <c r="C27" s="7">
        <v>12</v>
      </c>
      <c r="D27" s="7">
        <v>57976</v>
      </c>
      <c r="E27" s="7">
        <v>1792</v>
      </c>
      <c r="F27" s="7"/>
      <c r="G27" s="7"/>
      <c r="H27" s="7">
        <v>467</v>
      </c>
      <c r="I27" s="7">
        <v>6227</v>
      </c>
      <c r="J27" s="7">
        <v>30375</v>
      </c>
      <c r="K27" s="7">
        <v>3740</v>
      </c>
      <c r="L27" s="7">
        <v>112409</v>
      </c>
    </row>
    <row r="28" spans="1:12" x14ac:dyDescent="0.35">
      <c r="A28" t="s">
        <v>92</v>
      </c>
      <c r="B28" s="7">
        <v>6</v>
      </c>
      <c r="C28" s="7"/>
      <c r="D28" s="7">
        <v>2610</v>
      </c>
      <c r="E28" s="7">
        <v>11</v>
      </c>
      <c r="F28" s="7"/>
      <c r="G28" s="7"/>
      <c r="H28" s="7"/>
      <c r="I28" s="7">
        <v>5</v>
      </c>
      <c r="J28" s="7">
        <v>137</v>
      </c>
      <c r="K28" s="7">
        <v>35</v>
      </c>
      <c r="L28" s="7">
        <v>2805</v>
      </c>
    </row>
    <row r="29" spans="1:12" x14ac:dyDescent="0.35">
      <c r="A29" t="s">
        <v>94</v>
      </c>
      <c r="B29" s="7">
        <v>32437</v>
      </c>
      <c r="C29" s="7">
        <v>18</v>
      </c>
      <c r="D29" s="7">
        <v>17086</v>
      </c>
      <c r="E29" s="7">
        <v>1512</v>
      </c>
      <c r="F29" s="7"/>
      <c r="G29" s="7"/>
      <c r="H29" s="7">
        <v>476</v>
      </c>
      <c r="I29" s="7">
        <v>1588</v>
      </c>
      <c r="J29" s="7">
        <v>29981</v>
      </c>
      <c r="K29" s="7">
        <v>5075</v>
      </c>
      <c r="L29" s="7">
        <v>88174</v>
      </c>
    </row>
    <row r="30" spans="1:12" x14ac:dyDescent="0.35">
      <c r="A30" t="s">
        <v>236</v>
      </c>
      <c r="B30" s="7">
        <v>32668</v>
      </c>
      <c r="C30" s="7">
        <v>5554</v>
      </c>
      <c r="D30" s="7">
        <v>256807</v>
      </c>
      <c r="E30" s="7">
        <v>109893</v>
      </c>
      <c r="F30" s="7"/>
      <c r="G30" s="7"/>
      <c r="H30" s="7"/>
      <c r="I30" s="7"/>
      <c r="J30" s="7"/>
      <c r="K30" s="7"/>
      <c r="L30" s="7">
        <v>404922</v>
      </c>
    </row>
    <row r="32" spans="1:12" x14ac:dyDescent="0.35">
      <c r="B32" s="7">
        <f>SUM(B9,B10:B21,B22*-1)</f>
        <v>1</v>
      </c>
      <c r="C32" s="7">
        <f t="shared" ref="C32:L32" si="0">SUM(C9,C10:C21,C22*-1)</f>
        <v>1</v>
      </c>
      <c r="D32" s="7">
        <f t="shared" si="0"/>
        <v>1</v>
      </c>
      <c r="E32" s="7">
        <f t="shared" si="0"/>
        <v>-1</v>
      </c>
      <c r="F32" s="7">
        <f t="shared" si="0"/>
        <v>0</v>
      </c>
      <c r="G32" s="7">
        <f t="shared" si="0"/>
        <v>0</v>
      </c>
      <c r="H32" s="7">
        <f t="shared" si="0"/>
        <v>0</v>
      </c>
      <c r="I32" s="7">
        <f t="shared" si="0"/>
        <v>0</v>
      </c>
      <c r="J32" s="7">
        <f t="shared" si="0"/>
        <v>0</v>
      </c>
      <c r="K32" s="7">
        <f t="shared" si="0"/>
        <v>-1</v>
      </c>
      <c r="L32" s="7">
        <f t="shared" si="0"/>
        <v>2</v>
      </c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Ark97"/>
  <dimension ref="A1:L32"/>
  <sheetViews>
    <sheetView workbookViewId="0">
      <selection activeCell="B3" sqref="B3:L30"/>
    </sheetView>
  </sheetViews>
  <sheetFormatPr defaultRowHeight="14.5" x14ac:dyDescent="0.35"/>
  <cols>
    <col min="1" max="1" width="30" customWidth="1"/>
    <col min="2" max="2" width="11.54296875" customWidth="1"/>
    <col min="3" max="3" width="12" customWidth="1"/>
    <col min="4" max="4" width="14.54296875" customWidth="1"/>
    <col min="5" max="5" width="14.1796875" customWidth="1"/>
    <col min="8" max="8" width="22.81640625" customWidth="1"/>
    <col min="9" max="9" width="21.81640625" customWidth="1"/>
    <col min="10" max="10" width="13.81640625" customWidth="1"/>
    <col min="11" max="11" width="12.26953125" customWidth="1"/>
    <col min="12" max="12" width="11.81640625" customWidth="1"/>
  </cols>
  <sheetData>
    <row r="1" spans="1:12" x14ac:dyDescent="0.35">
      <c r="B1" t="s">
        <v>214</v>
      </c>
      <c r="C1" t="s">
        <v>2</v>
      </c>
      <c r="D1" t="s">
        <v>215</v>
      </c>
      <c r="E1" t="s">
        <v>216</v>
      </c>
      <c r="F1" t="s">
        <v>5</v>
      </c>
      <c r="G1" t="s">
        <v>6</v>
      </c>
      <c r="H1" t="s">
        <v>217</v>
      </c>
      <c r="I1" t="s">
        <v>8</v>
      </c>
      <c r="J1" t="s">
        <v>9</v>
      </c>
      <c r="K1" t="s">
        <v>10</v>
      </c>
      <c r="L1" t="s">
        <v>218</v>
      </c>
    </row>
    <row r="2" spans="1:12" x14ac:dyDescent="0.35">
      <c r="B2" t="s">
        <v>219</v>
      </c>
      <c r="C2" t="s">
        <v>219</v>
      </c>
      <c r="D2" t="s">
        <v>219</v>
      </c>
      <c r="E2" t="s">
        <v>219</v>
      </c>
      <c r="F2" t="s">
        <v>219</v>
      </c>
      <c r="G2" t="s">
        <v>219</v>
      </c>
      <c r="H2" t="s">
        <v>219</v>
      </c>
      <c r="I2" t="s">
        <v>219</v>
      </c>
      <c r="J2" t="s">
        <v>219</v>
      </c>
      <c r="K2" t="s">
        <v>219</v>
      </c>
      <c r="L2" t="s">
        <v>219</v>
      </c>
    </row>
    <row r="3" spans="1:12" x14ac:dyDescent="0.35">
      <c r="A3" t="s">
        <v>17</v>
      </c>
      <c r="B3" s="7">
        <v>2958002</v>
      </c>
      <c r="C3" s="7">
        <v>3294031</v>
      </c>
      <c r="D3" s="7"/>
      <c r="E3" s="7">
        <v>1884370</v>
      </c>
      <c r="F3" s="7">
        <v>156512</v>
      </c>
      <c r="G3" s="7">
        <v>215754</v>
      </c>
      <c r="H3" s="7">
        <v>95433</v>
      </c>
      <c r="I3" s="7">
        <v>964431</v>
      </c>
      <c r="J3" s="7"/>
      <c r="K3" s="7">
        <v>772</v>
      </c>
      <c r="L3" s="7">
        <v>9569305</v>
      </c>
    </row>
    <row r="4" spans="1:12" x14ac:dyDescent="0.35">
      <c r="A4" t="s">
        <v>220</v>
      </c>
      <c r="B4" s="7">
        <v>387343</v>
      </c>
      <c r="C4" s="7">
        <v>879098</v>
      </c>
      <c r="D4" s="7">
        <v>672141</v>
      </c>
      <c r="E4" s="7">
        <v>241365</v>
      </c>
      <c r="F4" s="7"/>
      <c r="G4" s="7"/>
      <c r="H4" s="7"/>
      <c r="I4" s="7">
        <v>1799</v>
      </c>
      <c r="J4" s="7">
        <v>19708</v>
      </c>
      <c r="K4" s="7"/>
      <c r="L4" s="7">
        <v>2201453</v>
      </c>
    </row>
    <row r="5" spans="1:12" x14ac:dyDescent="0.35">
      <c r="A5" t="s">
        <v>221</v>
      </c>
      <c r="B5" s="7">
        <v>-458809</v>
      </c>
      <c r="C5" s="7">
        <v>-1861131</v>
      </c>
      <c r="D5" s="7">
        <v>-721483</v>
      </c>
      <c r="E5" s="7">
        <v>-570254</v>
      </c>
      <c r="F5" s="7"/>
      <c r="G5" s="7"/>
      <c r="H5" s="7"/>
      <c r="I5" s="7">
        <v>-4700</v>
      </c>
      <c r="J5" s="7">
        <v>-19240</v>
      </c>
      <c r="K5" s="7"/>
      <c r="L5" s="7">
        <v>-3635619</v>
      </c>
    </row>
    <row r="6" spans="1:12" x14ac:dyDescent="0.35">
      <c r="A6" t="s">
        <v>222</v>
      </c>
      <c r="B6" s="7"/>
      <c r="C6" s="7"/>
      <c r="D6" s="7">
        <v>-131956</v>
      </c>
      <c r="E6" s="7"/>
      <c r="F6" s="7"/>
      <c r="G6" s="7"/>
      <c r="H6" s="7"/>
      <c r="I6" s="7"/>
      <c r="J6" s="7"/>
      <c r="K6" s="7"/>
      <c r="L6" s="7">
        <v>-131956</v>
      </c>
    </row>
    <row r="7" spans="1:12" x14ac:dyDescent="0.35">
      <c r="A7" t="s">
        <v>223</v>
      </c>
      <c r="B7" s="7"/>
      <c r="C7" s="7"/>
      <c r="D7" s="7">
        <v>-79769</v>
      </c>
      <c r="E7" s="7"/>
      <c r="F7" s="7"/>
      <c r="G7" s="7"/>
      <c r="H7" s="7"/>
      <c r="I7" s="7"/>
      <c r="J7" s="7"/>
      <c r="K7" s="7"/>
      <c r="L7" s="7">
        <v>-79769</v>
      </c>
    </row>
    <row r="8" spans="1:12" x14ac:dyDescent="0.35">
      <c r="A8" t="s">
        <v>224</v>
      </c>
      <c r="B8" s="7">
        <v>8586</v>
      </c>
      <c r="C8" s="7">
        <v>-1427</v>
      </c>
      <c r="D8" s="7">
        <v>-3713</v>
      </c>
      <c r="E8" s="7">
        <v>-5314</v>
      </c>
      <c r="F8" s="7"/>
      <c r="G8" s="7"/>
      <c r="H8" s="7"/>
      <c r="I8" s="7">
        <v>822</v>
      </c>
      <c r="J8" s="7"/>
      <c r="K8" s="7"/>
      <c r="L8" s="7">
        <v>-1047</v>
      </c>
    </row>
    <row r="9" spans="1:12" x14ac:dyDescent="0.35">
      <c r="A9" t="s">
        <v>225</v>
      </c>
      <c r="B9" s="7">
        <v>2895121</v>
      </c>
      <c r="C9" s="7">
        <v>2310571</v>
      </c>
      <c r="D9" s="7">
        <v>-264780</v>
      </c>
      <c r="E9" s="7">
        <v>1550167</v>
      </c>
      <c r="F9" s="7">
        <v>156512</v>
      </c>
      <c r="G9" s="7">
        <v>215754</v>
      </c>
      <c r="H9" s="7">
        <v>95433</v>
      </c>
      <c r="I9" s="7">
        <v>962351</v>
      </c>
      <c r="J9" s="7">
        <v>468</v>
      </c>
      <c r="K9" s="7">
        <v>772</v>
      </c>
      <c r="L9" s="7">
        <v>7922368</v>
      </c>
    </row>
    <row r="10" spans="1:12" x14ac:dyDescent="0.35">
      <c r="A10" t="s">
        <v>226</v>
      </c>
      <c r="B10" s="7">
        <v>-971</v>
      </c>
      <c r="C10" s="7">
        <v>-122353</v>
      </c>
      <c r="D10" s="7">
        <v>132426</v>
      </c>
      <c r="E10" s="7"/>
      <c r="F10" s="7"/>
      <c r="G10" s="7"/>
      <c r="H10" s="7"/>
      <c r="I10" s="7">
        <v>-27</v>
      </c>
      <c r="J10" s="7"/>
      <c r="K10" s="7"/>
      <c r="L10" s="7">
        <v>9075</v>
      </c>
    </row>
    <row r="11" spans="1:12" x14ac:dyDescent="0.35">
      <c r="A11" t="s">
        <v>227</v>
      </c>
      <c r="B11" s="7">
        <v>-16109</v>
      </c>
      <c r="C11" s="7">
        <v>7205</v>
      </c>
      <c r="D11" s="7">
        <v>20246</v>
      </c>
      <c r="E11" s="7">
        <v>14670</v>
      </c>
      <c r="F11" s="7"/>
      <c r="G11" s="7"/>
      <c r="H11" s="7"/>
      <c r="I11" s="7">
        <v>-2108</v>
      </c>
      <c r="J11" s="7">
        <v>-3760</v>
      </c>
      <c r="K11" s="7">
        <v>600</v>
      </c>
      <c r="L11" s="7">
        <v>20744</v>
      </c>
    </row>
    <row r="12" spans="1:12" x14ac:dyDescent="0.35">
      <c r="A12" t="s">
        <v>228</v>
      </c>
      <c r="B12" s="7">
        <v>-1016348</v>
      </c>
      <c r="C12" s="7">
        <v>-41586</v>
      </c>
      <c r="D12" s="7">
        <v>-146159</v>
      </c>
      <c r="E12" s="7">
        <v>-420626</v>
      </c>
      <c r="F12" s="7">
        <v>-156009</v>
      </c>
      <c r="G12" s="7">
        <v>-215754</v>
      </c>
      <c r="H12" s="7">
        <v>-63694</v>
      </c>
      <c r="I12" s="7">
        <v>-48418</v>
      </c>
      <c r="J12" s="7">
        <v>917825</v>
      </c>
      <c r="K12" s="7">
        <v>-353</v>
      </c>
      <c r="L12" s="7">
        <v>-1191120</v>
      </c>
    </row>
    <row r="13" spans="1:12" x14ac:dyDescent="0.35">
      <c r="A13" t="s">
        <v>66</v>
      </c>
      <c r="B13" s="7">
        <v>-542149</v>
      </c>
      <c r="C13" s="7">
        <v>-7</v>
      </c>
      <c r="D13" s="7">
        <v>-5668</v>
      </c>
      <c r="E13" s="7">
        <v>-213814</v>
      </c>
      <c r="F13" s="7">
        <v>-503</v>
      </c>
      <c r="G13" s="7"/>
      <c r="H13" s="7"/>
      <c r="I13" s="7">
        <v>-13330</v>
      </c>
      <c r="J13" s="7">
        <v>234446</v>
      </c>
      <c r="K13" s="7">
        <v>175021</v>
      </c>
      <c r="L13" s="7">
        <v>-366003</v>
      </c>
    </row>
    <row r="14" spans="1:12" x14ac:dyDescent="0.35">
      <c r="A14" t="s">
        <v>229</v>
      </c>
      <c r="B14" s="7">
        <v>-20344</v>
      </c>
      <c r="C14" s="7">
        <v>-654</v>
      </c>
      <c r="D14" s="7">
        <v>-10527</v>
      </c>
      <c r="E14" s="7">
        <v>-53783</v>
      </c>
      <c r="F14" s="7"/>
      <c r="G14" s="7"/>
      <c r="H14" s="7">
        <v>-20</v>
      </c>
      <c r="I14" s="7">
        <v>-4403</v>
      </c>
      <c r="J14" s="7"/>
      <c r="K14" s="7">
        <v>80158</v>
      </c>
      <c r="L14" s="7">
        <v>-9573</v>
      </c>
    </row>
    <row r="15" spans="1:12" x14ac:dyDescent="0.35">
      <c r="A15" t="s">
        <v>230</v>
      </c>
      <c r="B15" s="7">
        <v>-6228</v>
      </c>
      <c r="C15" s="7">
        <v>-3</v>
      </c>
      <c r="D15" s="7">
        <v>-300</v>
      </c>
      <c r="E15" s="7">
        <v>1337</v>
      </c>
      <c r="F15" s="7"/>
      <c r="G15" s="7"/>
      <c r="H15" s="7"/>
      <c r="I15" s="7">
        <v>-11</v>
      </c>
      <c r="J15" s="7"/>
      <c r="K15" s="7"/>
      <c r="L15" s="7">
        <v>-5205</v>
      </c>
    </row>
    <row r="16" spans="1:12" x14ac:dyDescent="0.35">
      <c r="A16" t="s">
        <v>70</v>
      </c>
      <c r="B16" s="7"/>
      <c r="C16" s="7">
        <v>-2144668</v>
      </c>
      <c r="D16" s="7">
        <v>2097839</v>
      </c>
      <c r="E16" s="7"/>
      <c r="F16" s="7"/>
      <c r="G16" s="7"/>
      <c r="H16" s="7"/>
      <c r="I16" s="7"/>
      <c r="J16" s="7"/>
      <c r="K16" s="7"/>
      <c r="L16" s="7">
        <v>-46829</v>
      </c>
    </row>
    <row r="17" spans="1:12" x14ac:dyDescent="0.35">
      <c r="A17" t="s">
        <v>231</v>
      </c>
      <c r="B17" s="7">
        <v>-217849</v>
      </c>
      <c r="C17" s="7"/>
      <c r="D17" s="7">
        <v>-1347</v>
      </c>
      <c r="E17" s="7"/>
      <c r="F17" s="7"/>
      <c r="G17" s="7"/>
      <c r="H17" s="7"/>
      <c r="I17" s="7">
        <v>-52</v>
      </c>
      <c r="J17" s="7"/>
      <c r="K17" s="7"/>
      <c r="L17" s="7">
        <v>-219249</v>
      </c>
    </row>
    <row r="18" spans="1:12" x14ac:dyDescent="0.35">
      <c r="A18" t="s">
        <v>232</v>
      </c>
      <c r="B18" s="7">
        <v>-8814</v>
      </c>
      <c r="C18" s="7">
        <v>13574</v>
      </c>
      <c r="D18" s="7"/>
      <c r="E18" s="7">
        <v>-17894</v>
      </c>
      <c r="F18" s="7"/>
      <c r="G18" s="7"/>
      <c r="H18" s="7"/>
      <c r="I18" s="7"/>
      <c r="J18" s="7"/>
      <c r="K18" s="7"/>
      <c r="L18" s="7">
        <v>-13135</v>
      </c>
    </row>
    <row r="19" spans="1:12" x14ac:dyDescent="0.35">
      <c r="A19" t="s">
        <v>233</v>
      </c>
      <c r="B19" s="7">
        <v>-182</v>
      </c>
      <c r="C19" s="7">
        <v>5117</v>
      </c>
      <c r="D19" s="7">
        <v>-4063</v>
      </c>
      <c r="E19" s="7">
        <v>-3360</v>
      </c>
      <c r="F19" s="7"/>
      <c r="G19" s="7"/>
      <c r="H19" s="7"/>
      <c r="I19" s="7">
        <v>-77180</v>
      </c>
      <c r="J19" s="7"/>
      <c r="K19" s="7"/>
      <c r="L19" s="7">
        <v>-79669</v>
      </c>
    </row>
    <row r="20" spans="1:12" x14ac:dyDescent="0.35">
      <c r="A20" t="s">
        <v>234</v>
      </c>
      <c r="B20" s="7">
        <v>-76183</v>
      </c>
      <c r="C20" s="7">
        <v>-12019</v>
      </c>
      <c r="D20" s="7">
        <v>-104834</v>
      </c>
      <c r="E20" s="7">
        <v>-143060</v>
      </c>
      <c r="F20" s="7"/>
      <c r="G20" s="7"/>
      <c r="H20" s="7"/>
      <c r="I20" s="7">
        <v>-13585</v>
      </c>
      <c r="J20" s="7">
        <v>-109220</v>
      </c>
      <c r="K20" s="7">
        <v>-29433</v>
      </c>
      <c r="L20" s="7">
        <v>-488335</v>
      </c>
    </row>
    <row r="21" spans="1:12" x14ac:dyDescent="0.35">
      <c r="A21" t="s">
        <v>235</v>
      </c>
      <c r="B21" s="7">
        <v>-1337</v>
      </c>
      <c r="C21" s="7">
        <v>-8478</v>
      </c>
      <c r="D21" s="7">
        <v>-368</v>
      </c>
      <c r="E21" s="7">
        <v>-17883</v>
      </c>
      <c r="F21" s="7"/>
      <c r="G21" s="7"/>
      <c r="H21" s="7">
        <v>-3</v>
      </c>
      <c r="I21" s="7">
        <v>-97</v>
      </c>
      <c r="J21" s="7">
        <v>-108847</v>
      </c>
      <c r="K21" s="7">
        <v>-12330</v>
      </c>
      <c r="L21" s="7">
        <v>-149342</v>
      </c>
    </row>
    <row r="22" spans="1:12" x14ac:dyDescent="0.35">
      <c r="A22" t="s">
        <v>131</v>
      </c>
      <c r="B22" s="7">
        <v>988607</v>
      </c>
      <c r="C22" s="7">
        <v>6698</v>
      </c>
      <c r="D22" s="7">
        <v>1712466</v>
      </c>
      <c r="E22" s="7">
        <v>695755</v>
      </c>
      <c r="F22" s="7"/>
      <c r="G22" s="7"/>
      <c r="H22" s="7">
        <v>31717</v>
      </c>
      <c r="I22" s="7">
        <v>803139</v>
      </c>
      <c r="J22" s="7">
        <v>930911</v>
      </c>
      <c r="K22" s="7">
        <v>214435</v>
      </c>
      <c r="L22" s="7">
        <v>5383728</v>
      </c>
    </row>
    <row r="23" spans="1:12" x14ac:dyDescent="0.35">
      <c r="A23" t="s">
        <v>80</v>
      </c>
      <c r="B23" s="7">
        <v>801284</v>
      </c>
      <c r="C23" s="7">
        <v>3516</v>
      </c>
      <c r="D23" s="7">
        <v>199424</v>
      </c>
      <c r="E23" s="7">
        <v>279156</v>
      </c>
      <c r="F23" s="7"/>
      <c r="G23" s="7"/>
      <c r="H23" s="7">
        <v>401</v>
      </c>
      <c r="I23" s="7">
        <v>125112</v>
      </c>
      <c r="J23" s="7">
        <v>472585</v>
      </c>
      <c r="K23" s="7">
        <v>100813</v>
      </c>
      <c r="L23" s="7">
        <v>1982292</v>
      </c>
    </row>
    <row r="24" spans="1:12" x14ac:dyDescent="0.35">
      <c r="A24" t="s">
        <v>82</v>
      </c>
      <c r="B24" s="7">
        <v>43</v>
      </c>
      <c r="C24" s="7">
        <v>15</v>
      </c>
      <c r="D24" s="7">
        <v>968360</v>
      </c>
      <c r="E24" s="7">
        <v>72695</v>
      </c>
      <c r="F24" s="7"/>
      <c r="G24" s="7"/>
      <c r="H24" s="7"/>
      <c r="I24" s="7">
        <v>26315</v>
      </c>
      <c r="J24" s="7">
        <v>19527</v>
      </c>
      <c r="K24" s="7"/>
      <c r="L24" s="7">
        <v>1086954</v>
      </c>
    </row>
    <row r="25" spans="1:12" x14ac:dyDescent="0.35">
      <c r="A25" t="s">
        <v>86</v>
      </c>
      <c r="B25" s="7">
        <v>63289</v>
      </c>
      <c r="C25" s="7"/>
      <c r="D25" s="7">
        <v>128897</v>
      </c>
      <c r="E25" s="7">
        <v>172152</v>
      </c>
      <c r="F25" s="7"/>
      <c r="G25" s="7"/>
      <c r="H25" s="7">
        <v>24502</v>
      </c>
      <c r="I25" s="7">
        <v>622392</v>
      </c>
      <c r="J25" s="7">
        <v>219797</v>
      </c>
      <c r="K25" s="7">
        <v>80340</v>
      </c>
      <c r="L25" s="7">
        <v>1311371</v>
      </c>
    </row>
    <row r="26" spans="1:12" x14ac:dyDescent="0.35">
      <c r="A26" t="s">
        <v>88</v>
      </c>
      <c r="B26" s="7">
        <v>28996</v>
      </c>
      <c r="C26" s="7"/>
      <c r="D26" s="7">
        <v>34811</v>
      </c>
      <c r="E26" s="7">
        <v>40065</v>
      </c>
      <c r="F26" s="7"/>
      <c r="G26" s="7"/>
      <c r="H26" s="7">
        <v>4809</v>
      </c>
      <c r="I26" s="7">
        <v>20335</v>
      </c>
      <c r="J26" s="7">
        <v>129755</v>
      </c>
      <c r="K26" s="7">
        <v>23423</v>
      </c>
      <c r="L26" s="7">
        <v>282194</v>
      </c>
    </row>
    <row r="27" spans="1:12" x14ac:dyDescent="0.35">
      <c r="A27" t="s">
        <v>90</v>
      </c>
      <c r="B27" s="7">
        <v>14275</v>
      </c>
      <c r="C27" s="7">
        <v>10</v>
      </c>
      <c r="D27" s="7">
        <v>62849</v>
      </c>
      <c r="E27" s="7">
        <v>3318</v>
      </c>
      <c r="F27" s="7"/>
      <c r="G27" s="7"/>
      <c r="H27" s="7">
        <v>1104</v>
      </c>
      <c r="I27" s="7">
        <v>7390</v>
      </c>
      <c r="J27" s="7">
        <v>37805</v>
      </c>
      <c r="K27" s="7">
        <v>2850</v>
      </c>
      <c r="L27" s="7">
        <v>129602</v>
      </c>
    </row>
    <row r="28" spans="1:12" x14ac:dyDescent="0.35">
      <c r="A28" t="s">
        <v>92</v>
      </c>
      <c r="B28" s="7">
        <v>1</v>
      </c>
      <c r="C28" s="7"/>
      <c r="D28" s="7">
        <v>2086</v>
      </c>
      <c r="E28" s="7">
        <v>42</v>
      </c>
      <c r="F28" s="7"/>
      <c r="G28" s="7"/>
      <c r="H28" s="7"/>
      <c r="I28" s="7">
        <v>8</v>
      </c>
      <c r="J28" s="7">
        <v>158</v>
      </c>
      <c r="K28" s="7">
        <v>8</v>
      </c>
      <c r="L28" s="7">
        <v>2303</v>
      </c>
    </row>
    <row r="29" spans="1:12" x14ac:dyDescent="0.35">
      <c r="A29" t="s">
        <v>94</v>
      </c>
      <c r="B29" s="7">
        <v>29803</v>
      </c>
      <c r="C29" s="7">
        <v>58</v>
      </c>
      <c r="D29" s="7">
        <v>19741</v>
      </c>
      <c r="E29" s="7">
        <v>2388</v>
      </c>
      <c r="F29" s="7"/>
      <c r="G29" s="7"/>
      <c r="H29" s="7">
        <v>900</v>
      </c>
      <c r="I29" s="7">
        <v>1586</v>
      </c>
      <c r="J29" s="7">
        <v>51283</v>
      </c>
      <c r="K29" s="7">
        <v>7000</v>
      </c>
      <c r="L29" s="7">
        <v>112760</v>
      </c>
    </row>
    <row r="30" spans="1:12" x14ac:dyDescent="0.35">
      <c r="A30" t="s">
        <v>236</v>
      </c>
      <c r="B30" s="7">
        <v>50917</v>
      </c>
      <c r="C30" s="7">
        <v>3099</v>
      </c>
      <c r="D30" s="7">
        <v>296299</v>
      </c>
      <c r="E30" s="7">
        <v>125938</v>
      </c>
      <c r="F30" s="7"/>
      <c r="G30" s="7"/>
      <c r="H30" s="7"/>
      <c r="I30" s="7"/>
      <c r="J30" s="7"/>
      <c r="K30" s="7"/>
      <c r="L30" s="7">
        <v>476252</v>
      </c>
    </row>
    <row r="32" spans="1:12" x14ac:dyDescent="0.35">
      <c r="B32" s="7">
        <f>SUM(B9,B10:B21,B22*-1)</f>
        <v>0</v>
      </c>
      <c r="C32" s="7">
        <f t="shared" ref="C32:L32" si="0">SUM(C9,C10:C21,C22*-1)</f>
        <v>1</v>
      </c>
      <c r="D32" s="7">
        <f t="shared" si="0"/>
        <v>-1</v>
      </c>
      <c r="E32" s="7">
        <f t="shared" si="0"/>
        <v>-1</v>
      </c>
      <c r="F32" s="7">
        <f t="shared" si="0"/>
        <v>0</v>
      </c>
      <c r="G32" s="7">
        <f t="shared" si="0"/>
        <v>0</v>
      </c>
      <c r="H32" s="7">
        <f t="shared" si="0"/>
        <v>-1</v>
      </c>
      <c r="I32" s="7">
        <f t="shared" si="0"/>
        <v>1</v>
      </c>
      <c r="J32" s="7">
        <f t="shared" si="0"/>
        <v>1</v>
      </c>
      <c r="K32" s="7">
        <f t="shared" si="0"/>
        <v>0</v>
      </c>
      <c r="L32" s="7">
        <f t="shared" si="0"/>
        <v>-1</v>
      </c>
    </row>
  </sheetData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Ark87"/>
  <dimension ref="A1:L32"/>
  <sheetViews>
    <sheetView workbookViewId="0">
      <selection activeCell="N32" sqref="N32"/>
    </sheetView>
  </sheetViews>
  <sheetFormatPr defaultRowHeight="14.5" x14ac:dyDescent="0.35"/>
  <cols>
    <col min="1" max="1" width="30" customWidth="1"/>
    <col min="2" max="2" width="11.54296875" customWidth="1"/>
    <col min="3" max="3" width="12" customWidth="1"/>
    <col min="4" max="4" width="14.54296875" customWidth="1"/>
    <col min="5" max="5" width="14.1796875" customWidth="1"/>
    <col min="8" max="8" width="22.81640625" customWidth="1"/>
    <col min="9" max="9" width="21.81640625" customWidth="1"/>
    <col min="10" max="10" width="13.81640625" customWidth="1"/>
    <col min="11" max="11" width="12.26953125" customWidth="1"/>
    <col min="12" max="12" width="11.81640625" customWidth="1"/>
  </cols>
  <sheetData>
    <row r="1" spans="1:12" x14ac:dyDescent="0.35">
      <c r="B1" t="s">
        <v>214</v>
      </c>
      <c r="C1" t="s">
        <v>2</v>
      </c>
      <c r="D1" t="s">
        <v>215</v>
      </c>
      <c r="E1" t="s">
        <v>216</v>
      </c>
      <c r="F1" t="s">
        <v>5</v>
      </c>
      <c r="G1" t="s">
        <v>6</v>
      </c>
      <c r="H1" t="s">
        <v>217</v>
      </c>
      <c r="I1" t="s">
        <v>8</v>
      </c>
      <c r="J1" t="s">
        <v>9</v>
      </c>
      <c r="K1" t="s">
        <v>10</v>
      </c>
      <c r="L1" t="s">
        <v>218</v>
      </c>
    </row>
    <row r="2" spans="1:12" x14ac:dyDescent="0.35">
      <c r="B2" t="s">
        <v>219</v>
      </c>
      <c r="C2" t="s">
        <v>219</v>
      </c>
      <c r="D2" t="s">
        <v>219</v>
      </c>
      <c r="E2" t="s">
        <v>219</v>
      </c>
      <c r="F2" t="s">
        <v>219</v>
      </c>
      <c r="G2" t="s">
        <v>219</v>
      </c>
      <c r="H2" t="s">
        <v>219</v>
      </c>
      <c r="I2" t="s">
        <v>219</v>
      </c>
      <c r="J2" t="s">
        <v>219</v>
      </c>
      <c r="K2" t="s">
        <v>219</v>
      </c>
      <c r="L2" t="s">
        <v>219</v>
      </c>
    </row>
    <row r="3" spans="1:12" x14ac:dyDescent="0.35">
      <c r="A3" t="s">
        <v>17</v>
      </c>
      <c r="B3" s="7">
        <v>3061441</v>
      </c>
      <c r="C3" s="7">
        <v>3314982</v>
      </c>
      <c r="D3" s="7"/>
      <c r="E3" s="7">
        <v>2086624</v>
      </c>
      <c r="F3" s="7">
        <v>191006</v>
      </c>
      <c r="G3" s="7">
        <v>239318</v>
      </c>
      <c r="H3" s="7">
        <v>145710</v>
      </c>
      <c r="I3" s="7">
        <v>1002565</v>
      </c>
      <c r="J3" s="7"/>
      <c r="K3" s="7">
        <v>790</v>
      </c>
      <c r="L3" s="7">
        <v>10042435</v>
      </c>
    </row>
    <row r="4" spans="1:12" x14ac:dyDescent="0.35">
      <c r="A4" t="s">
        <v>220</v>
      </c>
      <c r="B4" s="7">
        <v>473996</v>
      </c>
      <c r="C4" s="7">
        <v>1041303</v>
      </c>
      <c r="D4" s="7">
        <v>736969</v>
      </c>
      <c r="E4" s="7">
        <v>300106</v>
      </c>
      <c r="F4" s="7"/>
      <c r="G4" s="7"/>
      <c r="H4" s="7"/>
      <c r="I4" s="7">
        <v>2552</v>
      </c>
      <c r="J4" s="7">
        <v>20361</v>
      </c>
      <c r="K4" s="7"/>
      <c r="L4" s="7">
        <v>2575288</v>
      </c>
    </row>
    <row r="5" spans="1:12" x14ac:dyDescent="0.35">
      <c r="A5" t="s">
        <v>221</v>
      </c>
      <c r="B5" s="7">
        <v>-528570</v>
      </c>
      <c r="C5" s="7">
        <v>-1915014</v>
      </c>
      <c r="D5" s="7">
        <v>-771664</v>
      </c>
      <c r="E5" s="7">
        <v>-627782</v>
      </c>
      <c r="F5" s="7"/>
      <c r="G5" s="7"/>
      <c r="H5" s="7"/>
      <c r="I5" s="7">
        <v>-6391</v>
      </c>
      <c r="J5" s="7">
        <v>-21123</v>
      </c>
      <c r="K5" s="7"/>
      <c r="L5" s="7">
        <v>-3870544</v>
      </c>
    </row>
    <row r="6" spans="1:12" x14ac:dyDescent="0.35">
      <c r="A6" t="s">
        <v>222</v>
      </c>
      <c r="B6" s="7"/>
      <c r="C6" s="7"/>
      <c r="D6" s="7">
        <v>-138087</v>
      </c>
      <c r="E6" s="7"/>
      <c r="F6" s="7"/>
      <c r="G6" s="7"/>
      <c r="H6" s="7"/>
      <c r="I6" s="7"/>
      <c r="J6" s="7"/>
      <c r="K6" s="7"/>
      <c r="L6" s="7">
        <v>-138087</v>
      </c>
    </row>
    <row r="7" spans="1:12" x14ac:dyDescent="0.35">
      <c r="A7" t="s">
        <v>223</v>
      </c>
      <c r="B7" s="7"/>
      <c r="C7" s="7"/>
      <c r="D7" s="7">
        <v>-92661</v>
      </c>
      <c r="E7" s="7"/>
      <c r="F7" s="7"/>
      <c r="G7" s="7"/>
      <c r="H7" s="7"/>
      <c r="I7" s="7"/>
      <c r="J7" s="7"/>
      <c r="K7" s="7"/>
      <c r="L7" s="7">
        <v>-92661</v>
      </c>
    </row>
    <row r="8" spans="1:12" x14ac:dyDescent="0.35">
      <c r="A8" t="s">
        <v>224</v>
      </c>
      <c r="B8" s="7">
        <v>-22876</v>
      </c>
      <c r="C8" s="7">
        <v>-6506</v>
      </c>
      <c r="D8" s="7">
        <v>1356</v>
      </c>
      <c r="E8" s="7">
        <v>2619</v>
      </c>
      <c r="F8" s="7"/>
      <c r="G8" s="7"/>
      <c r="H8" s="7"/>
      <c r="I8" s="7">
        <v>-671</v>
      </c>
      <c r="J8" s="7"/>
      <c r="K8" s="7"/>
      <c r="L8" s="7">
        <v>-26079</v>
      </c>
    </row>
    <row r="9" spans="1:12" x14ac:dyDescent="0.35">
      <c r="A9" t="s">
        <v>225</v>
      </c>
      <c r="B9" s="7">
        <v>2983991</v>
      </c>
      <c r="C9" s="7">
        <v>2434765</v>
      </c>
      <c r="D9" s="7">
        <v>-264087</v>
      </c>
      <c r="E9" s="7">
        <v>1761567</v>
      </c>
      <c r="F9" s="7">
        <v>191006</v>
      </c>
      <c r="G9" s="7">
        <v>239318</v>
      </c>
      <c r="H9" s="7">
        <v>145710</v>
      </c>
      <c r="I9" s="7">
        <v>998055</v>
      </c>
      <c r="J9" s="7">
        <v>-761</v>
      </c>
      <c r="K9" s="7">
        <v>790</v>
      </c>
      <c r="L9" s="7">
        <v>8490352</v>
      </c>
    </row>
    <row r="10" spans="1:12" x14ac:dyDescent="0.35">
      <c r="A10" t="s">
        <v>226</v>
      </c>
      <c r="B10" s="7">
        <v>-1156</v>
      </c>
      <c r="C10" s="7">
        <v>-129320</v>
      </c>
      <c r="D10" s="7">
        <v>141335</v>
      </c>
      <c r="E10" s="7"/>
      <c r="F10" s="7"/>
      <c r="G10" s="7"/>
      <c r="H10" s="7"/>
      <c r="I10" s="7"/>
      <c r="J10" s="7"/>
      <c r="K10" s="7"/>
      <c r="L10" s="7">
        <v>10859</v>
      </c>
    </row>
    <row r="11" spans="1:12" x14ac:dyDescent="0.35">
      <c r="A11" t="s">
        <v>227</v>
      </c>
      <c r="B11" s="7">
        <v>-26985</v>
      </c>
      <c r="C11" s="7">
        <v>2229</v>
      </c>
      <c r="D11" s="7">
        <v>-5017</v>
      </c>
      <c r="E11" s="7">
        <v>-5509</v>
      </c>
      <c r="F11" s="7"/>
      <c r="G11" s="7"/>
      <c r="H11" s="7"/>
      <c r="I11" s="7">
        <v>-170</v>
      </c>
      <c r="J11" s="7">
        <v>-5562</v>
      </c>
      <c r="K11" s="7">
        <v>4082</v>
      </c>
      <c r="L11" s="7">
        <v>-36932</v>
      </c>
    </row>
    <row r="12" spans="1:12" x14ac:dyDescent="0.35">
      <c r="A12" t="s">
        <v>228</v>
      </c>
      <c r="B12" s="7">
        <v>-1164223</v>
      </c>
      <c r="C12" s="7">
        <v>-30333</v>
      </c>
      <c r="D12" s="7">
        <v>-109517</v>
      </c>
      <c r="E12" s="7">
        <v>-472837</v>
      </c>
      <c r="F12" s="7">
        <v>-190499</v>
      </c>
      <c r="G12" s="7">
        <v>-239318</v>
      </c>
      <c r="H12" s="7">
        <v>-108670</v>
      </c>
      <c r="I12" s="7">
        <v>-83830</v>
      </c>
      <c r="J12" s="7">
        <v>1068213</v>
      </c>
      <c r="K12" s="7">
        <v>-351</v>
      </c>
      <c r="L12" s="7">
        <v>-1331365</v>
      </c>
    </row>
    <row r="13" spans="1:12" x14ac:dyDescent="0.35">
      <c r="A13" t="s">
        <v>66</v>
      </c>
      <c r="B13" s="7">
        <v>-606684</v>
      </c>
      <c r="C13" s="7">
        <v>-21</v>
      </c>
      <c r="D13" s="7">
        <v>-4411</v>
      </c>
      <c r="E13" s="7">
        <v>-218695</v>
      </c>
      <c r="F13" s="7">
        <v>-506</v>
      </c>
      <c r="G13" s="7"/>
      <c r="H13" s="7"/>
      <c r="I13" s="7">
        <v>-14412</v>
      </c>
      <c r="J13" s="7">
        <v>259897</v>
      </c>
      <c r="K13" s="7">
        <v>198567</v>
      </c>
      <c r="L13" s="7">
        <v>-386265</v>
      </c>
    </row>
    <row r="14" spans="1:12" x14ac:dyDescent="0.35">
      <c r="A14" t="s">
        <v>229</v>
      </c>
      <c r="B14" s="7">
        <v>-20625</v>
      </c>
      <c r="C14" s="7">
        <v>-473</v>
      </c>
      <c r="D14" s="7">
        <v>-8986</v>
      </c>
      <c r="E14" s="7">
        <v>-51459</v>
      </c>
      <c r="F14" s="7"/>
      <c r="G14" s="7"/>
      <c r="H14" s="7">
        <v>-14</v>
      </c>
      <c r="I14" s="7">
        <v>-4829</v>
      </c>
      <c r="J14" s="7">
        <v>-336</v>
      </c>
      <c r="K14" s="7">
        <v>82618</v>
      </c>
      <c r="L14" s="7">
        <v>-4105</v>
      </c>
    </row>
    <row r="15" spans="1:12" x14ac:dyDescent="0.35">
      <c r="A15" t="s">
        <v>230</v>
      </c>
      <c r="B15" s="7">
        <v>-7228</v>
      </c>
      <c r="C15" s="7"/>
      <c r="D15" s="7">
        <v>-288</v>
      </c>
      <c r="E15" s="7">
        <v>1502</v>
      </c>
      <c r="F15" s="7"/>
      <c r="G15" s="7"/>
      <c r="H15" s="7"/>
      <c r="I15" s="7">
        <v>-7</v>
      </c>
      <c r="J15" s="7"/>
      <c r="K15" s="7"/>
      <c r="L15" s="7">
        <v>-6022</v>
      </c>
    </row>
    <row r="16" spans="1:12" x14ac:dyDescent="0.35">
      <c r="A16" t="s">
        <v>70</v>
      </c>
      <c r="B16" s="7"/>
      <c r="C16" s="7">
        <v>-2273256</v>
      </c>
      <c r="D16" s="7">
        <v>2216829</v>
      </c>
      <c r="E16" s="7"/>
      <c r="F16" s="7"/>
      <c r="G16" s="7"/>
      <c r="H16" s="7"/>
      <c r="I16" s="7"/>
      <c r="J16" s="7"/>
      <c r="K16" s="7"/>
      <c r="L16" s="7">
        <v>-56427</v>
      </c>
    </row>
    <row r="17" spans="1:12" x14ac:dyDescent="0.35">
      <c r="A17" t="s">
        <v>231</v>
      </c>
      <c r="B17" s="7">
        <v>-183342</v>
      </c>
      <c r="C17" s="7"/>
      <c r="D17" s="7">
        <v>-1685</v>
      </c>
      <c r="E17" s="7"/>
      <c r="F17" s="7"/>
      <c r="G17" s="7"/>
      <c r="H17" s="7"/>
      <c r="I17" s="7">
        <v>-52</v>
      </c>
      <c r="J17" s="7"/>
      <c r="K17" s="7"/>
      <c r="L17" s="7">
        <v>-185079</v>
      </c>
    </row>
    <row r="18" spans="1:12" x14ac:dyDescent="0.35">
      <c r="A18" t="s">
        <v>232</v>
      </c>
      <c r="B18" s="7">
        <v>-15495</v>
      </c>
      <c r="C18" s="7">
        <v>14412</v>
      </c>
      <c r="D18" s="7"/>
      <c r="E18" s="7">
        <v>-11303</v>
      </c>
      <c r="F18" s="7"/>
      <c r="G18" s="7"/>
      <c r="H18" s="7"/>
      <c r="I18" s="7"/>
      <c r="J18" s="7"/>
      <c r="K18" s="7"/>
      <c r="L18" s="7">
        <v>-12386</v>
      </c>
    </row>
    <row r="19" spans="1:12" x14ac:dyDescent="0.35">
      <c r="A19" t="s">
        <v>233</v>
      </c>
      <c r="B19" s="7">
        <v>-119</v>
      </c>
      <c r="C19" s="7">
        <v>4925</v>
      </c>
      <c r="D19" s="7">
        <v>-3749</v>
      </c>
      <c r="E19" s="7">
        <v>-4409</v>
      </c>
      <c r="F19" s="7"/>
      <c r="G19" s="7"/>
      <c r="H19" s="7"/>
      <c r="I19" s="7">
        <v>-84828</v>
      </c>
      <c r="J19" s="7"/>
      <c r="K19" s="7"/>
      <c r="L19" s="7">
        <v>-88181</v>
      </c>
    </row>
    <row r="20" spans="1:12" x14ac:dyDescent="0.35">
      <c r="A20" t="s">
        <v>234</v>
      </c>
      <c r="B20" s="7">
        <v>-63557</v>
      </c>
      <c r="C20" s="7">
        <v>-9780</v>
      </c>
      <c r="D20" s="7">
        <v>-99043</v>
      </c>
      <c r="E20" s="7">
        <v>-164062</v>
      </c>
      <c r="F20" s="7"/>
      <c r="G20" s="7"/>
      <c r="H20" s="7">
        <v>-3</v>
      </c>
      <c r="I20" s="7">
        <v>-14593</v>
      </c>
      <c r="J20" s="7">
        <v>-121008</v>
      </c>
      <c r="K20" s="7">
        <v>-30941</v>
      </c>
      <c r="L20" s="7">
        <v>-502986</v>
      </c>
    </row>
    <row r="21" spans="1:12" x14ac:dyDescent="0.35">
      <c r="A21" t="s">
        <v>235</v>
      </c>
      <c r="B21" s="7">
        <v>-1656</v>
      </c>
      <c r="C21" s="7">
        <v>-8100</v>
      </c>
      <c r="D21" s="7">
        <v>-303</v>
      </c>
      <c r="E21" s="7">
        <v>-17296</v>
      </c>
      <c r="F21" s="7"/>
      <c r="G21" s="7"/>
      <c r="H21" s="7">
        <v>-3</v>
      </c>
      <c r="I21" s="7">
        <v>-94</v>
      </c>
      <c r="J21" s="7">
        <v>-118127</v>
      </c>
      <c r="K21" s="7">
        <v>-14663</v>
      </c>
      <c r="L21" s="7">
        <v>-160242</v>
      </c>
    </row>
    <row r="22" spans="1:12" x14ac:dyDescent="0.35">
      <c r="A22" t="s">
        <v>131</v>
      </c>
      <c r="B22" s="7">
        <v>892921</v>
      </c>
      <c r="C22" s="7">
        <v>5047</v>
      </c>
      <c r="D22" s="7">
        <v>1861077</v>
      </c>
      <c r="E22" s="7">
        <v>817499</v>
      </c>
      <c r="F22" s="7"/>
      <c r="G22" s="7"/>
      <c r="H22" s="7">
        <v>37020</v>
      </c>
      <c r="I22" s="7">
        <v>795240</v>
      </c>
      <c r="J22" s="7">
        <v>1082315</v>
      </c>
      <c r="K22" s="7">
        <v>240102</v>
      </c>
      <c r="L22" s="7">
        <v>5731220</v>
      </c>
    </row>
    <row r="23" spans="1:12" x14ac:dyDescent="0.35">
      <c r="A23" t="s">
        <v>80</v>
      </c>
      <c r="B23" s="7">
        <v>714431</v>
      </c>
      <c r="C23" s="7">
        <v>2462</v>
      </c>
      <c r="D23" s="7">
        <v>197373</v>
      </c>
      <c r="E23" s="7">
        <v>315265</v>
      </c>
      <c r="F23" s="7"/>
      <c r="G23" s="7"/>
      <c r="H23" s="7">
        <v>548</v>
      </c>
      <c r="I23" s="7">
        <v>122441</v>
      </c>
      <c r="J23" s="7">
        <v>539759</v>
      </c>
      <c r="K23" s="7">
        <v>116485</v>
      </c>
      <c r="L23" s="7">
        <v>2008764</v>
      </c>
    </row>
    <row r="24" spans="1:12" x14ac:dyDescent="0.35">
      <c r="A24" t="s">
        <v>82</v>
      </c>
      <c r="B24" s="7">
        <v>40</v>
      </c>
      <c r="C24" s="7">
        <v>71</v>
      </c>
      <c r="D24" s="7">
        <v>1052820</v>
      </c>
      <c r="E24" s="7">
        <v>86281</v>
      </c>
      <c r="F24" s="7"/>
      <c r="G24" s="7"/>
      <c r="H24" s="7"/>
      <c r="I24" s="7">
        <v>31682</v>
      </c>
      <c r="J24" s="7">
        <v>23494</v>
      </c>
      <c r="K24" s="7"/>
      <c r="L24" s="7">
        <v>1194387</v>
      </c>
    </row>
    <row r="25" spans="1:12" x14ac:dyDescent="0.35">
      <c r="A25" t="s">
        <v>86</v>
      </c>
      <c r="B25" s="7">
        <v>63707</v>
      </c>
      <c r="C25" s="7"/>
      <c r="D25" s="7">
        <v>147675</v>
      </c>
      <c r="E25" s="7">
        <v>213786</v>
      </c>
      <c r="F25" s="7"/>
      <c r="G25" s="7"/>
      <c r="H25" s="7">
        <v>27913</v>
      </c>
      <c r="I25" s="7">
        <v>610054</v>
      </c>
      <c r="J25" s="7">
        <v>256682</v>
      </c>
      <c r="K25" s="7">
        <v>86087</v>
      </c>
      <c r="L25" s="7">
        <v>1405904</v>
      </c>
    </row>
    <row r="26" spans="1:12" x14ac:dyDescent="0.35">
      <c r="A26" t="s">
        <v>88</v>
      </c>
      <c r="B26" s="7">
        <v>26777</v>
      </c>
      <c r="C26" s="7"/>
      <c r="D26" s="7">
        <v>36652</v>
      </c>
      <c r="E26" s="7">
        <v>48442</v>
      </c>
      <c r="F26" s="7"/>
      <c r="G26" s="7"/>
      <c r="H26" s="7">
        <v>5912</v>
      </c>
      <c r="I26" s="7">
        <v>21853</v>
      </c>
      <c r="J26" s="7">
        <v>149133</v>
      </c>
      <c r="K26" s="7">
        <v>27375</v>
      </c>
      <c r="L26" s="7">
        <v>316145</v>
      </c>
    </row>
    <row r="27" spans="1:12" x14ac:dyDescent="0.35">
      <c r="A27" t="s">
        <v>90</v>
      </c>
      <c r="B27" s="7">
        <v>14526</v>
      </c>
      <c r="C27" s="7">
        <v>2</v>
      </c>
      <c r="D27" s="7">
        <v>63097</v>
      </c>
      <c r="E27" s="7">
        <v>4192</v>
      </c>
      <c r="F27" s="7"/>
      <c r="G27" s="7"/>
      <c r="H27" s="7">
        <v>1484</v>
      </c>
      <c r="I27" s="7">
        <v>7680</v>
      </c>
      <c r="J27" s="7">
        <v>45177</v>
      </c>
      <c r="K27" s="7">
        <v>4240</v>
      </c>
      <c r="L27" s="7">
        <v>140398</v>
      </c>
    </row>
    <row r="28" spans="1:12" x14ac:dyDescent="0.35">
      <c r="A28" t="s">
        <v>92</v>
      </c>
      <c r="B28" s="7">
        <v>1</v>
      </c>
      <c r="C28" s="7"/>
      <c r="D28" s="7">
        <v>2112</v>
      </c>
      <c r="E28" s="7">
        <v>4</v>
      </c>
      <c r="F28" s="7"/>
      <c r="G28" s="7"/>
      <c r="H28" s="7"/>
      <c r="I28" s="7">
        <v>6</v>
      </c>
      <c r="J28" s="7">
        <v>177</v>
      </c>
      <c r="K28" s="7">
        <v>14</v>
      </c>
      <c r="L28" s="7">
        <v>2313</v>
      </c>
    </row>
    <row r="29" spans="1:12" x14ac:dyDescent="0.35">
      <c r="A29" t="s">
        <v>94</v>
      </c>
      <c r="B29" s="7">
        <v>25253</v>
      </c>
      <c r="C29" s="7">
        <v>3</v>
      </c>
      <c r="D29" s="7">
        <v>17835</v>
      </c>
      <c r="E29" s="7">
        <v>2546</v>
      </c>
      <c r="F29" s="7"/>
      <c r="G29" s="7"/>
      <c r="H29" s="7">
        <v>1163</v>
      </c>
      <c r="I29" s="7">
        <v>1524</v>
      </c>
      <c r="J29" s="7">
        <v>67893</v>
      </c>
      <c r="K29" s="7">
        <v>5901</v>
      </c>
      <c r="L29" s="7">
        <v>122117</v>
      </c>
    </row>
    <row r="30" spans="1:12" x14ac:dyDescent="0.35">
      <c r="A30" t="s">
        <v>236</v>
      </c>
      <c r="B30" s="7">
        <v>48188</v>
      </c>
      <c r="C30" s="7">
        <v>2509</v>
      </c>
      <c r="D30" s="7">
        <v>343512</v>
      </c>
      <c r="E30" s="7">
        <v>146983</v>
      </c>
      <c r="F30" s="7"/>
      <c r="G30" s="7"/>
      <c r="H30" s="7"/>
      <c r="I30" s="7"/>
      <c r="J30" s="7"/>
      <c r="K30" s="7"/>
      <c r="L30" s="7">
        <v>541192</v>
      </c>
    </row>
    <row r="32" spans="1:12" x14ac:dyDescent="0.35">
      <c r="B32" s="7">
        <f>SUM(B9,B10:B21,B22*-1)</f>
        <v>0</v>
      </c>
      <c r="C32" s="7">
        <f t="shared" ref="C32:L32" si="0">SUM(C9,C10:C21,C22*-1)</f>
        <v>1</v>
      </c>
      <c r="D32" s="7">
        <f t="shared" si="0"/>
        <v>1</v>
      </c>
      <c r="E32" s="7">
        <f t="shared" si="0"/>
        <v>0</v>
      </c>
      <c r="F32" s="7">
        <f t="shared" si="0"/>
        <v>1</v>
      </c>
      <c r="G32" s="7">
        <f t="shared" si="0"/>
        <v>0</v>
      </c>
      <c r="H32" s="7">
        <f t="shared" si="0"/>
        <v>0</v>
      </c>
      <c r="I32" s="7">
        <f t="shared" si="0"/>
        <v>0</v>
      </c>
      <c r="J32" s="7">
        <f t="shared" si="0"/>
        <v>1</v>
      </c>
      <c r="K32" s="7">
        <f t="shared" si="0"/>
        <v>0</v>
      </c>
      <c r="L32" s="7">
        <f t="shared" si="0"/>
        <v>1</v>
      </c>
    </row>
  </sheetData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Ark94"/>
  <dimension ref="A1:AH30"/>
  <sheetViews>
    <sheetView topLeftCell="Q1" zoomScale="130" zoomScaleNormal="130" workbookViewId="0">
      <selection activeCell="J11" sqref="J11"/>
    </sheetView>
  </sheetViews>
  <sheetFormatPr defaultRowHeight="14.5" x14ac:dyDescent="0.35"/>
  <cols>
    <col min="3" max="3" width="16.453125" customWidth="1"/>
    <col min="4" max="4" width="12.81640625" customWidth="1"/>
    <col min="5" max="5" width="12.54296875" customWidth="1"/>
    <col min="6" max="6" width="16.54296875" customWidth="1"/>
    <col min="10" max="10" width="12.54296875" customWidth="1"/>
    <col min="11" max="11" width="11.54296875" customWidth="1"/>
    <col min="14" max="14" width="10.81640625" customWidth="1"/>
    <col min="15" max="15" width="51.54296875" customWidth="1"/>
    <col min="16" max="18" width="15.81640625" customWidth="1"/>
    <col min="19" max="19" width="12.81640625" customWidth="1"/>
    <col min="24" max="24" width="14.1796875" bestFit="1" customWidth="1"/>
    <col min="33" max="34" width="11.26953125" customWidth="1"/>
  </cols>
  <sheetData>
    <row r="1" spans="1:34" ht="140" x14ac:dyDescent="0.35">
      <c r="B1" s="44" t="s">
        <v>0</v>
      </c>
      <c r="C1" s="3" t="s">
        <v>1</v>
      </c>
      <c r="D1" s="8" t="s">
        <v>2</v>
      </c>
      <c r="E1" s="2" t="s">
        <v>3</v>
      </c>
      <c r="F1" s="3" t="s">
        <v>4</v>
      </c>
      <c r="G1" s="1" t="s">
        <v>5</v>
      </c>
      <c r="H1" s="1" t="s">
        <v>6</v>
      </c>
      <c r="I1" s="1" t="s">
        <v>7</v>
      </c>
      <c r="J1" s="3" t="s">
        <v>8</v>
      </c>
      <c r="K1" s="2" t="s">
        <v>9</v>
      </c>
      <c r="L1" s="2" t="s">
        <v>10</v>
      </c>
      <c r="M1" s="17" t="s">
        <v>11</v>
      </c>
      <c r="N1" s="5" t="s">
        <v>12</v>
      </c>
      <c r="O1" s="4" t="s">
        <v>246</v>
      </c>
      <c r="P1" s="60"/>
      <c r="Q1" s="60"/>
      <c r="R1" s="12" t="s">
        <v>14</v>
      </c>
      <c r="S1" s="11" t="s">
        <v>15</v>
      </c>
      <c r="T1" s="12" t="s">
        <v>16</v>
      </c>
      <c r="U1" s="44" t="s">
        <v>17</v>
      </c>
      <c r="V1" s="3" t="s">
        <v>1</v>
      </c>
      <c r="W1" s="8" t="s">
        <v>2</v>
      </c>
      <c r="X1" s="9" t="s">
        <v>3</v>
      </c>
      <c r="Y1" s="3" t="s">
        <v>4</v>
      </c>
      <c r="Z1" s="1" t="s">
        <v>5</v>
      </c>
      <c r="AA1" s="1" t="s">
        <v>6</v>
      </c>
      <c r="AB1" s="1" t="s">
        <v>7</v>
      </c>
      <c r="AC1" s="3" t="s">
        <v>8</v>
      </c>
      <c r="AD1" s="2" t="s">
        <v>9</v>
      </c>
      <c r="AE1" s="2" t="s">
        <v>10</v>
      </c>
      <c r="AF1" s="17" t="s">
        <v>11</v>
      </c>
      <c r="AG1" s="13" t="s">
        <v>18</v>
      </c>
      <c r="AH1" s="13" t="s">
        <v>19</v>
      </c>
    </row>
    <row r="2" spans="1:34" ht="24.75" customHeight="1" x14ac:dyDescent="0.35">
      <c r="A2" s="45" t="s">
        <v>20</v>
      </c>
      <c r="B2" s="46" t="s">
        <v>21</v>
      </c>
      <c r="C2" s="46" t="s">
        <v>22</v>
      </c>
      <c r="D2" s="46" t="s">
        <v>23</v>
      </c>
      <c r="E2" s="47" t="s">
        <v>24</v>
      </c>
      <c r="F2" s="46" t="s">
        <v>25</v>
      </c>
      <c r="G2" s="46" t="s">
        <v>26</v>
      </c>
      <c r="H2" s="46" t="s">
        <v>27</v>
      </c>
      <c r="I2" s="46" t="s">
        <v>28</v>
      </c>
      <c r="J2" s="48" t="s">
        <v>29</v>
      </c>
      <c r="K2" s="47" t="s">
        <v>30</v>
      </c>
      <c r="L2" s="49" t="s">
        <v>31</v>
      </c>
      <c r="M2" s="49" t="s">
        <v>32</v>
      </c>
      <c r="N2" s="50" t="s">
        <v>33</v>
      </c>
      <c r="O2" s="51"/>
      <c r="P2" s="52" t="s">
        <v>20</v>
      </c>
      <c r="Q2" s="53" t="s">
        <v>34</v>
      </c>
      <c r="R2" s="50" t="s">
        <v>35</v>
      </c>
      <c r="S2" s="54" t="s">
        <v>36</v>
      </c>
      <c r="T2" s="50" t="s">
        <v>37</v>
      </c>
      <c r="U2" s="46" t="s">
        <v>38</v>
      </c>
      <c r="V2" s="46" t="s">
        <v>39</v>
      </c>
      <c r="W2" s="46" t="s">
        <v>40</v>
      </c>
      <c r="X2" s="47" t="s">
        <v>41</v>
      </c>
      <c r="Y2" s="46" t="s">
        <v>42</v>
      </c>
      <c r="Z2" s="46" t="s">
        <v>43</v>
      </c>
      <c r="AA2" s="46" t="s">
        <v>44</v>
      </c>
      <c r="AB2" s="46" t="s">
        <v>45</v>
      </c>
      <c r="AC2" s="46" t="s">
        <v>46</v>
      </c>
      <c r="AD2" s="47" t="s">
        <v>47</v>
      </c>
      <c r="AE2" s="47" t="s">
        <v>48</v>
      </c>
      <c r="AF2" s="49" t="s">
        <v>49</v>
      </c>
      <c r="AG2" s="46" t="s">
        <v>50</v>
      </c>
      <c r="AH2" s="46" t="s">
        <v>51</v>
      </c>
    </row>
    <row r="3" spans="1:34" ht="24.75" customHeight="1" x14ac:dyDescent="0.35">
      <c r="A3" s="45" t="s">
        <v>34</v>
      </c>
      <c r="B3" s="55"/>
      <c r="C3" s="56" t="s">
        <v>52</v>
      </c>
      <c r="D3" s="56" t="s">
        <v>52</v>
      </c>
      <c r="E3" s="56" t="s">
        <v>21</v>
      </c>
      <c r="F3" s="56" t="s">
        <v>21</v>
      </c>
      <c r="G3" s="56" t="s">
        <v>21</v>
      </c>
      <c r="H3" s="56" t="s">
        <v>52</v>
      </c>
      <c r="I3" s="56" t="s">
        <v>52</v>
      </c>
      <c r="J3" s="56" t="s">
        <v>21</v>
      </c>
      <c r="K3" s="56" t="s">
        <v>21</v>
      </c>
      <c r="L3" s="57" t="s">
        <v>21</v>
      </c>
      <c r="M3" s="57" t="s">
        <v>21</v>
      </c>
      <c r="N3" s="50"/>
      <c r="O3" s="51" t="s">
        <v>53</v>
      </c>
      <c r="P3" s="52"/>
      <c r="Q3" s="53"/>
      <c r="R3" s="74"/>
      <c r="S3" s="58"/>
      <c r="T3" s="59"/>
      <c r="U3" s="55"/>
      <c r="V3" s="56" t="s">
        <v>38</v>
      </c>
      <c r="W3" s="56" t="s">
        <v>38</v>
      </c>
      <c r="X3" s="56" t="s">
        <v>38</v>
      </c>
      <c r="Y3" s="56" t="s">
        <v>38</v>
      </c>
      <c r="Z3" s="56" t="s">
        <v>38</v>
      </c>
      <c r="AA3" s="56" t="s">
        <v>38</v>
      </c>
      <c r="AB3" s="56" t="s">
        <v>54</v>
      </c>
      <c r="AC3" s="56" t="s">
        <v>38</v>
      </c>
      <c r="AD3" s="56" t="s">
        <v>38</v>
      </c>
      <c r="AE3" s="56" t="s">
        <v>38</v>
      </c>
      <c r="AF3" s="57" t="s">
        <v>38</v>
      </c>
      <c r="AG3" s="56"/>
      <c r="AH3" s="56"/>
    </row>
    <row r="4" spans="1:34" ht="24.75" customHeight="1" x14ac:dyDescent="0.35">
      <c r="A4" s="72" t="s">
        <v>55</v>
      </c>
      <c r="B4" s="72"/>
      <c r="C4" s="56"/>
      <c r="D4" s="56"/>
      <c r="E4" s="56"/>
      <c r="F4" s="56"/>
      <c r="G4" s="56"/>
      <c r="H4" s="56"/>
      <c r="I4" s="56"/>
      <c r="J4" s="56"/>
      <c r="K4" s="56"/>
      <c r="L4" s="57"/>
      <c r="M4" s="57"/>
      <c r="N4" s="50"/>
      <c r="O4" s="51"/>
      <c r="P4" s="73"/>
      <c r="Q4" s="53"/>
      <c r="R4" s="74"/>
      <c r="S4" s="58"/>
      <c r="T4" s="59"/>
      <c r="U4" s="55">
        <f>B4</f>
        <v>0</v>
      </c>
      <c r="V4" s="56"/>
      <c r="W4" s="56"/>
      <c r="X4" s="56"/>
      <c r="Y4" s="56"/>
      <c r="Z4" s="56"/>
      <c r="AA4" s="56"/>
      <c r="AB4" s="56"/>
      <c r="AC4" s="56"/>
      <c r="AD4" s="56"/>
      <c r="AE4" s="56"/>
      <c r="AF4" s="57"/>
      <c r="AG4" s="56">
        <f>U4</f>
        <v>0</v>
      </c>
      <c r="AH4" s="56">
        <f>U4</f>
        <v>0</v>
      </c>
    </row>
    <row r="5" spans="1:34" x14ac:dyDescent="0.35">
      <c r="C5" s="14"/>
      <c r="D5" s="14"/>
      <c r="E5" s="14"/>
      <c r="F5" s="14"/>
      <c r="G5" s="14"/>
      <c r="H5" s="14"/>
      <c r="I5" s="14"/>
      <c r="J5" s="14"/>
      <c r="K5" s="14"/>
      <c r="L5" s="14"/>
      <c r="M5" s="14"/>
      <c r="N5" s="23">
        <f>SUM(C5:M5)</f>
        <v>0</v>
      </c>
      <c r="O5" s="10" t="s">
        <v>56</v>
      </c>
      <c r="P5" s="62" t="s">
        <v>57</v>
      </c>
      <c r="Q5" s="63"/>
      <c r="R5" s="63"/>
      <c r="S5" s="24">
        <f>SUM(V5:AF5)</f>
        <v>27385.223958821807</v>
      </c>
      <c r="T5" s="37"/>
      <c r="U5" s="61"/>
      <c r="V5" s="14">
        <f>-(C6+C5)</f>
        <v>132.05004534905206</v>
      </c>
      <c r="W5" s="14">
        <f>-(D6+D5)</f>
        <v>11513.392280817554</v>
      </c>
      <c r="X5" s="14"/>
      <c r="Y5" s="14">
        <f>-(F6+F5)</f>
        <v>15629.031084150554</v>
      </c>
      <c r="Z5" s="14">
        <f>-(G6+G5)</f>
        <v>74.104717123848445</v>
      </c>
      <c r="AA5" s="14"/>
      <c r="AB5" s="14"/>
      <c r="AC5" s="14">
        <f>-(J6+J5)</f>
        <v>36.645831380798057</v>
      </c>
      <c r="AD5" s="14"/>
      <c r="AE5" s="14"/>
      <c r="AF5" s="14"/>
      <c r="AG5" s="14"/>
      <c r="AH5" s="14"/>
    </row>
    <row r="6" spans="1:34" x14ac:dyDescent="0.35">
      <c r="C6" s="14">
        <f>-V6</f>
        <v>-132.05004534905206</v>
      </c>
      <c r="D6" s="14">
        <f>-W6</f>
        <v>-11513.392280817554</v>
      </c>
      <c r="E6" s="14"/>
      <c r="F6" s="14">
        <f>-Y6</f>
        <v>-15629.031084150554</v>
      </c>
      <c r="G6" s="14">
        <f>-Z6</f>
        <v>-74.104717123848445</v>
      </c>
      <c r="H6" s="14"/>
      <c r="I6" s="14"/>
      <c r="J6" s="14">
        <f>-AC6</f>
        <v>-36.645831380798057</v>
      </c>
      <c r="K6" s="14"/>
      <c r="L6" s="18"/>
      <c r="M6" s="18"/>
      <c r="N6" s="23">
        <f t="shared" ref="N6:N15" si="0">SUM(C6:M6)</f>
        <v>-27385.223958821807</v>
      </c>
      <c r="O6" s="22" t="s">
        <v>58</v>
      </c>
      <c r="P6" s="65" t="s">
        <v>59</v>
      </c>
      <c r="Q6" s="66"/>
      <c r="R6" s="66"/>
      <c r="S6" s="24">
        <f t="shared" ref="S6:S25" si="1">SUM(V6:AF6)</f>
        <v>27385.223958821807</v>
      </c>
      <c r="T6" s="37"/>
      <c r="U6" s="61"/>
      <c r="V6" s="14">
        <f>-(C16+C8)</f>
        <v>132.05004534905206</v>
      </c>
      <c r="W6" s="14">
        <f>-(D16+D8)</f>
        <v>11513.392280817554</v>
      </c>
      <c r="X6" s="14"/>
      <c r="Y6" s="14">
        <f>-(F16+F8)</f>
        <v>15629.031084150554</v>
      </c>
      <c r="Z6" s="14">
        <f>-(G16+G8)</f>
        <v>74.104717123848445</v>
      </c>
      <c r="AA6" s="14"/>
      <c r="AB6" s="14"/>
      <c r="AC6" s="14">
        <f>-(J16+J8)</f>
        <v>36.645831380798057</v>
      </c>
      <c r="AD6" s="14"/>
      <c r="AE6" s="14"/>
      <c r="AF6" s="14"/>
      <c r="AG6" s="21">
        <f>-(N6+S6)</f>
        <v>0</v>
      </c>
      <c r="AH6" s="21"/>
    </row>
    <row r="7" spans="1:34" x14ac:dyDescent="0.35"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23">
        <f t="shared" si="0"/>
        <v>0</v>
      </c>
      <c r="O7" s="22" t="s">
        <v>60</v>
      </c>
      <c r="P7" s="67" t="s">
        <v>61</v>
      </c>
      <c r="Q7" s="66"/>
      <c r="R7" s="66"/>
      <c r="S7" s="24">
        <f t="shared" si="1"/>
        <v>86.460974662426011</v>
      </c>
      <c r="T7" s="37"/>
      <c r="U7" s="61"/>
      <c r="V7" s="14"/>
      <c r="W7" s="14"/>
      <c r="X7" s="14"/>
      <c r="Y7" s="14"/>
      <c r="Z7" s="16"/>
      <c r="AA7" s="19">
        <f>-H8</f>
        <v>67.368381710335811</v>
      </c>
      <c r="AB7" s="19">
        <f>-I8</f>
        <v>19.092592952090197</v>
      </c>
      <c r="AC7" s="14"/>
      <c r="AD7" s="14"/>
      <c r="AE7" s="14"/>
      <c r="AF7" s="14"/>
      <c r="AG7" s="14"/>
      <c r="AH7" s="14"/>
    </row>
    <row r="8" spans="1:34" x14ac:dyDescent="0.35">
      <c r="C8" s="14">
        <f>SUM(C9:C13)</f>
        <v>-16.228717394381849</v>
      </c>
      <c r="D8" s="14">
        <f t="shared" ref="D8:M8" si="2">SUM(D9:D13)</f>
        <v>-11482.950451529847</v>
      </c>
      <c r="E8" s="14">
        <f t="shared" si="2"/>
        <v>-2156.5752463405934</v>
      </c>
      <c r="F8" s="14">
        <f t="shared" si="2"/>
        <v>-8718.6296379946252</v>
      </c>
      <c r="G8" s="14">
        <f t="shared" si="2"/>
        <v>-74.104717123848445</v>
      </c>
      <c r="H8" s="14">
        <f t="shared" si="2"/>
        <v>-67.368381710335811</v>
      </c>
      <c r="I8" s="14">
        <f t="shared" si="2"/>
        <v>-19.092592952090197</v>
      </c>
      <c r="J8" s="14">
        <f t="shared" si="2"/>
        <v>-0.29971574165358317</v>
      </c>
      <c r="K8" s="14">
        <f t="shared" si="2"/>
        <v>-228.16052799999997</v>
      </c>
      <c r="L8" s="14">
        <f t="shared" si="2"/>
        <v>0</v>
      </c>
      <c r="M8" s="14">
        <f t="shared" si="2"/>
        <v>0</v>
      </c>
      <c r="N8" s="23">
        <f t="shared" si="0"/>
        <v>-22763.409988787378</v>
      </c>
      <c r="O8" s="22" t="s">
        <v>62</v>
      </c>
      <c r="P8" s="67" t="s">
        <v>63</v>
      </c>
      <c r="Q8" s="66"/>
      <c r="R8" s="66"/>
      <c r="S8" s="24">
        <f t="shared" si="1"/>
        <v>14233.187320410387</v>
      </c>
      <c r="T8" s="37"/>
      <c r="U8" s="61"/>
      <c r="V8" s="14">
        <f>SUM(V9:V13)</f>
        <v>0</v>
      </c>
      <c r="W8" s="14"/>
      <c r="X8" s="14">
        <f>(E14+E8)*-1</f>
        <v>10059.613492637687</v>
      </c>
      <c r="Y8" s="14"/>
      <c r="Z8" s="14"/>
      <c r="AA8" s="14"/>
      <c r="AB8" s="14"/>
      <c r="AC8" s="14"/>
      <c r="AD8" s="14">
        <f>(K14+K8)*-1</f>
        <v>4173.5738277726996</v>
      </c>
      <c r="AE8" s="14">
        <f>(L14+L8)*-1</f>
        <v>0</v>
      </c>
      <c r="AF8" s="14"/>
      <c r="AG8" s="21">
        <f>-(N8+S8)</f>
        <v>8530.2226683769914</v>
      </c>
      <c r="AH8" s="21">
        <f>SUM(AH9:AH13)</f>
        <v>662.40333624004506</v>
      </c>
    </row>
    <row r="9" spans="1:34" x14ac:dyDescent="0.35">
      <c r="C9" s="26">
        <f>-($AD$9+$H$9+$I$9)/$T$9*' KF Middle East'!$I109</f>
        <v>-9.4035813943818489</v>
      </c>
      <c r="D9" s="26">
        <f>-($AD$9+$H$9+$I$9)/$T$9*' KF Middle East'!$I110</f>
        <v>-1020.4571713950374</v>
      </c>
      <c r="E9" s="26">
        <f>-($AD$9+$H$9+$I$9)/$T$9*' KF Middle East'!$I111</f>
        <v>-1575.6431183405934</v>
      </c>
      <c r="F9" s="26">
        <f>-($AD$9+$H$9+$I$9)/$T$9*' KF Middle East'!$I112</f>
        <v>-7019.3801339946249</v>
      </c>
      <c r="G9" s="26">
        <f>-($AD$9+$H$9+$I$9)/$T$9*' KF Middle East'!$I113</f>
        <v>-74.104717123848445</v>
      </c>
      <c r="H9" s="26">
        <f>AD9*' KF Middle East'!I94*-1</f>
        <v>-67.368381710335811</v>
      </c>
      <c r="I9" s="26">
        <f>AD9*' KF Middle East'!I95*-1</f>
        <v>-19.092592952090197</v>
      </c>
      <c r="J9" s="26">
        <f>-($AD$9+$H$9+$I$9)/$T$9*' KF Middle East'!$I114</f>
        <v>-0.29971574165358317</v>
      </c>
      <c r="K9" s="25"/>
      <c r="L9" s="25"/>
      <c r="M9" s="25"/>
      <c r="N9" s="23">
        <f t="shared" si="0"/>
        <v>-9785.7494126525653</v>
      </c>
      <c r="O9" s="6" t="s">
        <v>64</v>
      </c>
      <c r="P9" s="68" t="s">
        <v>65</v>
      </c>
      <c r="Q9" s="69" t="s">
        <v>63</v>
      </c>
      <c r="R9" s="69"/>
      <c r="S9" s="24">
        <f t="shared" si="1"/>
        <v>4173.5738277726996</v>
      </c>
      <c r="T9" s="37">
        <f>' KF Middle East'!I104</f>
        <v>0.42138275186269175</v>
      </c>
      <c r="U9" s="61"/>
      <c r="V9" s="28"/>
      <c r="W9" s="28"/>
      <c r="X9" s="28"/>
      <c r="Y9" s="28"/>
      <c r="Z9" s="28"/>
      <c r="AA9" s="28"/>
      <c r="AB9" s="28"/>
      <c r="AC9" s="28"/>
      <c r="AD9" s="28">
        <f>AD8-AD10</f>
        <v>4173.5738277726996</v>
      </c>
      <c r="AE9" s="28"/>
      <c r="AF9" s="28"/>
      <c r="AG9" s="29">
        <f>-(S9+N9)</f>
        <v>5612.1755848798657</v>
      </c>
      <c r="AH9" s="29">
        <f>-(C9*Emissionsfaktorer!$B$2*(1-' KF Middle East'!I134)+D9*Emissionsfaktorer!$B$3+E9*Emissionsfaktorer!$B$4*(1-' KF Middle East'!I135)+F9*Emissionsfaktorer!$B$5*(1-' KF Middle East'!I136)+G9*Emissionsfaktorer!$B$6+H9*Emissionsfaktorer!$B$7+I9*Emissionsfaktorer!$B$8-J9*Emissionsfaktorer!B13*' KF Middle East'!I137+K9*Emissionsfaktorer!$B$10+L9*Emissionsfaktorer!$B$11+M9*Emissionsfaktorer!$B$12)</f>
        <v>520.746884864045</v>
      </c>
    </row>
    <row r="10" spans="1:34" x14ac:dyDescent="0.35">
      <c r="C10" s="26">
        <f>-($AD$10+$AE$10+$H$10+$I$10)/IF($T$10=0,1,T10)*' KF Middle East'!$I116</f>
        <v>0</v>
      </c>
      <c r="D10" s="26">
        <f>-($AD$10+$AE$10+$H$10+$I$10)/IF($T$10=0,1,T10)*' KF Middle East'!$I117</f>
        <v>0</v>
      </c>
      <c r="E10" s="26">
        <f>-($AD$10+$AE$10+$H$10+$I$10)/IF($T$10=0,1,T10)*' KF Middle East'!$I118</f>
        <v>0</v>
      </c>
      <c r="F10" s="26">
        <f>-($AD$10+$AE$10+$H$10+$I$10)/IF($T$10=0,1,T10)*' KF Middle East'!$I119</f>
        <v>0</v>
      </c>
      <c r="G10" s="26">
        <f>-($AD$10+$AE$10+$H$10+$I$10)/IF($T$10=0,1,T10)*' KF Middle East'!$I120</f>
        <v>0</v>
      </c>
      <c r="H10" s="26"/>
      <c r="I10" s="26">
        <f>(AD10+AE10)*' KF Middle East'!I98*-1</f>
        <v>0</v>
      </c>
      <c r="J10" s="26">
        <f>-($AD$10+$AE$10+$H$10+$I$10)/IF($T$10=0,1,T10)*' KF Middle East'!$I121</f>
        <v>0</v>
      </c>
      <c r="K10" s="25"/>
      <c r="L10" s="25"/>
      <c r="M10" s="25"/>
      <c r="N10" s="23">
        <f t="shared" si="0"/>
        <v>0</v>
      </c>
      <c r="O10" s="6" t="s">
        <v>66</v>
      </c>
      <c r="P10" s="68" t="s">
        <v>67</v>
      </c>
      <c r="Q10" s="69" t="s">
        <v>63</v>
      </c>
      <c r="R10" s="69"/>
      <c r="S10" s="24">
        <f t="shared" si="1"/>
        <v>0</v>
      </c>
      <c r="T10" s="37">
        <f>' KF Middle East'!I105</f>
        <v>0</v>
      </c>
      <c r="U10" s="61"/>
      <c r="V10" s="28"/>
      <c r="W10" s="28"/>
      <c r="X10" s="28"/>
      <c r="Y10" s="28"/>
      <c r="Z10" s="28"/>
      <c r="AA10" s="28"/>
      <c r="AB10" s="28"/>
      <c r="AC10" s="28"/>
      <c r="AD10" s="28">
        <f>AE10*' KF Middle East'!I90</f>
        <v>0</v>
      </c>
      <c r="AE10" s="28">
        <f>AE8*' KF Middle East'!I85</f>
        <v>0</v>
      </c>
      <c r="AF10" s="28"/>
      <c r="AG10" s="29">
        <f t="shared" ref="AG10:AG11" si="3">-(S10+N10)</f>
        <v>0</v>
      </c>
      <c r="AH10" s="29">
        <f>-(C10*Emissionsfaktorer!$B$2*(1-' KF Middle East'!I135)+D10*Emissionsfaktorer!$B$3+E10*Emissionsfaktorer!$B$4*(1-' KF Middle East'!I136)+F10*Emissionsfaktorer!$B$5*(1-' KF Middle East'!I137)+G10*Emissionsfaktorer!$B$6+H10*Emissionsfaktorer!$B$7+I10*Emissionsfaktorer!$B$8-J10*Emissionsfaktorer!B14*' KF Middle East'!I142+K10*Emissionsfaktorer!$B$10+L10*Emissionsfaktorer!$B$11+M10*Emissionsfaktorer!$B$12)</f>
        <v>0</v>
      </c>
    </row>
    <row r="11" spans="1:34" x14ac:dyDescent="0.35">
      <c r="C11" s="26">
        <f>-($AE$11+$H$11+$I$11)/IF($T$11=0,1,$T$11)*' KF Middle East'!$I123</f>
        <v>0</v>
      </c>
      <c r="D11" s="26">
        <f>-($AE$11+$H$11+$I$11)/IF($T$11=0,1,$T$11)*' KF Middle East'!$I123</f>
        <v>0</v>
      </c>
      <c r="E11" s="26">
        <f>-($AE$11+$H$11+$I$11)/IF($T$11=0,1,$T$11)*' KF Middle East'!$I123</f>
        <v>0</v>
      </c>
      <c r="F11" s="26">
        <f>-($AE$11+$H$11+$I$11)/IF($T$11=0,1,$T$11)*' KF Middle East'!$I123</f>
        <v>0</v>
      </c>
      <c r="G11" s="26">
        <f>-($AE$11+$H$11+$I$11)/IF($T$11=0,1,$T$11)*' KF Middle East'!$I123</f>
        <v>0</v>
      </c>
      <c r="H11" s="26"/>
      <c r="I11" s="26">
        <f>AE11*' KF Middle East'!I101*-1</f>
        <v>0</v>
      </c>
      <c r="J11" s="26">
        <f>-($AE$11+$H$11+$I$11)/IF($T$11=0,1,$T$11)*' KF Middle East'!$I128</f>
        <v>0</v>
      </c>
      <c r="K11" s="28">
        <f>AE11*' KF Middle East'!I88*-1</f>
        <v>0</v>
      </c>
      <c r="L11" s="25"/>
      <c r="M11" s="25"/>
      <c r="N11" s="23">
        <f t="shared" si="0"/>
        <v>0</v>
      </c>
      <c r="O11" s="6" t="s">
        <v>68</v>
      </c>
      <c r="P11" s="64" t="s">
        <v>69</v>
      </c>
      <c r="Q11" s="69" t="s">
        <v>63</v>
      </c>
      <c r="R11" s="69"/>
      <c r="S11" s="24">
        <f t="shared" si="1"/>
        <v>0</v>
      </c>
      <c r="T11" s="37">
        <f>' KF Middle East'!I106</f>
        <v>0</v>
      </c>
      <c r="U11" s="61"/>
      <c r="V11" s="28"/>
      <c r="W11" s="28"/>
      <c r="X11" s="28"/>
      <c r="Y11" s="28"/>
      <c r="Z11" s="28"/>
      <c r="AA11" s="28"/>
      <c r="AB11" s="28"/>
      <c r="AC11" s="28"/>
      <c r="AD11" s="28"/>
      <c r="AE11" s="28">
        <f>AE8*' KF Middle East'!I86</f>
        <v>0</v>
      </c>
      <c r="AF11" s="28"/>
      <c r="AG11" s="29">
        <f t="shared" si="3"/>
        <v>0</v>
      </c>
      <c r="AH11" s="29">
        <f>-(C11*Emissionsfaktorer!$B$2+D11*Emissionsfaktorer!$B$3+E11*Emissionsfaktorer!$B$4+F11*Emissionsfaktorer!$B$5+G11*Emissionsfaktorer!$B$6+H11*Emissionsfaktorer!$B$7+I11*Emissionsfaktorer!$B$8+J11*Emissionsfaktorer!$B$9+K11*Emissionsfaktorer!$B$10+L11*Emissionsfaktorer!$B$11+M11*Emissionsfaktorer!$B$12)</f>
        <v>0</v>
      </c>
    </row>
    <row r="12" spans="1:34" x14ac:dyDescent="0.35">
      <c r="C12" s="26"/>
      <c r="D12" s="26">
        <f>-X12/IF(T12=0,1,T12)*' KF Middle East'!I130</f>
        <v>-10329.465936134809</v>
      </c>
      <c r="E12" s="25"/>
      <c r="F12" s="26"/>
      <c r="G12" s="26"/>
      <c r="H12" s="26"/>
      <c r="I12" s="26"/>
      <c r="J12" s="27">
        <f>-X12/IF(T12=0,1,T12)*' KF Middle East'!I131</f>
        <v>0</v>
      </c>
      <c r="K12" s="25"/>
      <c r="L12" s="25"/>
      <c r="M12" s="25"/>
      <c r="N12" s="23">
        <f t="shared" si="0"/>
        <v>-10329.465936134809</v>
      </c>
      <c r="O12" s="6" t="s">
        <v>70</v>
      </c>
      <c r="P12" s="64" t="s">
        <v>71</v>
      </c>
      <c r="Q12" s="69" t="s">
        <v>63</v>
      </c>
      <c r="R12" s="69"/>
      <c r="S12" s="24">
        <f t="shared" si="1"/>
        <v>10059.613492637687</v>
      </c>
      <c r="T12" s="37">
        <f>' KF Middle East'!I107</f>
        <v>0.97387546992597962</v>
      </c>
      <c r="U12" s="61"/>
      <c r="V12" s="28"/>
      <c r="W12" s="28"/>
      <c r="X12" s="28">
        <f>-(E9+E10+E11+E13+E14)</f>
        <v>10059.613492637687</v>
      </c>
      <c r="Y12" s="28"/>
      <c r="Z12" s="28"/>
      <c r="AA12" s="28"/>
      <c r="AB12" s="28"/>
      <c r="AC12" s="28"/>
      <c r="AD12" s="28"/>
      <c r="AE12" s="28"/>
      <c r="AF12" s="28"/>
      <c r="AG12" s="29">
        <f>-(S12+N12)</f>
        <v>269.85244349712229</v>
      </c>
      <c r="AH12" s="29">
        <f>J12*Emissionsfaktorer!B4</f>
        <v>0</v>
      </c>
    </row>
    <row r="13" spans="1:34" x14ac:dyDescent="0.35">
      <c r="C13" s="28">
        <f>N13*' KF Middle East'!I79</f>
        <v>-6.8251359999999996</v>
      </c>
      <c r="D13" s="28">
        <f>N13*' KF Middle East'!I81</f>
        <v>-133.027344</v>
      </c>
      <c r="E13" s="28">
        <f>N13*' KF Middle East'!I82</f>
        <v>-580.93212800000003</v>
      </c>
      <c r="F13" s="28">
        <f>N13*' KF Middle East'!I80</f>
        <v>-1699.2495040000001</v>
      </c>
      <c r="G13" s="28"/>
      <c r="H13" s="28"/>
      <c r="I13" s="28"/>
      <c r="J13" s="36">
        <f>N13*' KF Middle East'!I83</f>
        <v>0</v>
      </c>
      <c r="K13" s="28">
        <f>N13*' KF Middle East'!I77</f>
        <v>-228.16052799999997</v>
      </c>
      <c r="L13" s="28">
        <f>N13*' KF Middle East'!I78</f>
        <v>0</v>
      </c>
      <c r="M13" s="25"/>
      <c r="N13" s="23">
        <f>N16*' KF Middle East'!I75</f>
        <v>-2648.1946400000002</v>
      </c>
      <c r="O13" s="6" t="s">
        <v>72</v>
      </c>
      <c r="P13" s="64" t="s">
        <v>73</v>
      </c>
      <c r="Q13" s="69" t="s">
        <v>63</v>
      </c>
      <c r="R13" s="69"/>
      <c r="S13" s="24">
        <f t="shared" si="1"/>
        <v>0</v>
      </c>
      <c r="T13" s="37">
        <v>0</v>
      </c>
      <c r="U13" s="61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9">
        <f>-(S13+N13)</f>
        <v>2648.1946400000002</v>
      </c>
      <c r="AH13" s="29">
        <f>-(C13*Emissionsfaktorer!$B$2+D13*Emissionsfaktorer!$B$3+E13*Emissionsfaktorer!$B$4+F13*Emissionsfaktorer!$B$5+G13*Emissionsfaktorer!$B$6+H13*Emissionsfaktorer!$B$7+I13*Emissionsfaktorer!$B$8+J13*Emissionsfaktorer!$B$9+K13*Emissionsfaktorer!$B$10+L13*Emissionsfaktorer!$B$11+M13*Emissionsfaktorer!$B$12)</f>
        <v>141.65645137600001</v>
      </c>
    </row>
    <row r="14" spans="1:34" x14ac:dyDescent="0.35">
      <c r="C14" s="15"/>
      <c r="D14" s="15"/>
      <c r="E14" s="16">
        <f>-X14*1</f>
        <v>-7903.0382462970929</v>
      </c>
      <c r="F14" s="15"/>
      <c r="G14" s="15"/>
      <c r="H14" s="15"/>
      <c r="I14" s="15"/>
      <c r="J14" s="20"/>
      <c r="K14" s="16">
        <f>-AD14*(1+' KF Middle East'!I72)</f>
        <v>-3945.4132997726992</v>
      </c>
      <c r="L14" s="16">
        <f>-AE14*(1+' KF Middle East'!I73)</f>
        <v>0</v>
      </c>
      <c r="M14" s="16"/>
      <c r="N14" s="23">
        <f t="shared" si="0"/>
        <v>-11848.451546069791</v>
      </c>
      <c r="O14" s="22" t="s">
        <v>74</v>
      </c>
      <c r="P14" s="66" t="s">
        <v>75</v>
      </c>
      <c r="Q14" s="70"/>
      <c r="R14" s="70"/>
      <c r="S14" s="24">
        <f t="shared" si="1"/>
        <v>11294.87020275742</v>
      </c>
      <c r="T14" s="37"/>
      <c r="U14" s="61"/>
      <c r="V14" s="16"/>
      <c r="W14" s="16"/>
      <c r="X14" s="16">
        <f>-E16</f>
        <v>7903.0382462970929</v>
      </c>
      <c r="Y14" s="16"/>
      <c r="Z14" s="16"/>
      <c r="AA14" s="16"/>
      <c r="AB14" s="16"/>
      <c r="AC14" s="16"/>
      <c r="AD14" s="16">
        <f>-K16</f>
        <v>3391.8319564603271</v>
      </c>
      <c r="AE14" s="16">
        <f>-L16</f>
        <v>0</v>
      </c>
      <c r="AF14" s="16"/>
      <c r="AG14" s="21">
        <f>-(N14+S14)</f>
        <v>553.58134331237125</v>
      </c>
      <c r="AH14" s="21"/>
    </row>
    <row r="15" spans="1:34" x14ac:dyDescent="0.35"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23">
        <f t="shared" si="0"/>
        <v>0</v>
      </c>
      <c r="O15" s="22" t="s">
        <v>76</v>
      </c>
      <c r="P15" s="67" t="s">
        <v>77</v>
      </c>
      <c r="Q15" s="66"/>
      <c r="R15" s="66"/>
      <c r="S15" s="24">
        <f t="shared" si="1"/>
        <v>11.515307776790696</v>
      </c>
      <c r="T15" s="37"/>
      <c r="U15" s="61"/>
      <c r="V15" s="14"/>
      <c r="W15" s="14"/>
      <c r="X15" s="14"/>
      <c r="Y15" s="14"/>
      <c r="Z15" s="14"/>
      <c r="AA15" s="14"/>
      <c r="AB15" s="14">
        <f>I16*-1</f>
        <v>11.515307776790696</v>
      </c>
      <c r="AC15" s="14"/>
      <c r="AD15" s="14"/>
      <c r="AE15" s="14"/>
      <c r="AF15" s="14"/>
      <c r="AG15" s="14"/>
      <c r="AH15" s="14"/>
    </row>
    <row r="16" spans="1:34" x14ac:dyDescent="0.35">
      <c r="C16" s="14">
        <f t="shared" ref="C16:M16" si="4">SUM(C17:C19)</f>
        <v>-115.8213279546702</v>
      </c>
      <c r="D16" s="14">
        <f t="shared" si="4"/>
        <v>-30.441829287708053</v>
      </c>
      <c r="E16" s="14">
        <f t="shared" si="4"/>
        <v>-7903.0382462970929</v>
      </c>
      <c r="F16" s="14">
        <f t="shared" si="4"/>
        <v>-6910.4014461559291</v>
      </c>
      <c r="G16" s="14">
        <f t="shared" si="4"/>
        <v>0</v>
      </c>
      <c r="H16" s="14">
        <f t="shared" si="4"/>
        <v>0</v>
      </c>
      <c r="I16" s="14">
        <f t="shared" si="4"/>
        <v>-11.515307776790696</v>
      </c>
      <c r="J16" s="14">
        <f t="shared" si="4"/>
        <v>-36.346115639144472</v>
      </c>
      <c r="K16" s="14">
        <f t="shared" si="4"/>
        <v>-3391.8319564603271</v>
      </c>
      <c r="L16" s="14">
        <f t="shared" si="4"/>
        <v>0</v>
      </c>
      <c r="M16" s="14">
        <f t="shared" si="4"/>
        <v>0</v>
      </c>
      <c r="N16" s="23">
        <f>' KF Middle East'!I5</f>
        <v>-18399.059264</v>
      </c>
      <c r="O16" s="10" t="s">
        <v>78</v>
      </c>
      <c r="P16" s="71" t="s">
        <v>79</v>
      </c>
      <c r="Q16" s="71"/>
      <c r="R16" s="71"/>
      <c r="S16" s="24">
        <f t="shared" si="1"/>
        <v>12176.325523429301</v>
      </c>
      <c r="T16" s="37"/>
      <c r="U16" s="61"/>
      <c r="V16" s="14"/>
      <c r="W16" s="14"/>
      <c r="X16" s="14"/>
      <c r="Y16" s="14"/>
      <c r="Z16" s="14"/>
      <c r="AA16" s="14"/>
      <c r="AB16" s="14"/>
      <c r="AC16" s="14"/>
      <c r="AD16" s="14"/>
      <c r="AE16" s="14"/>
      <c r="AF16" s="14">
        <f>SUM(AF17:AF19)</f>
        <v>12176.325523429301</v>
      </c>
      <c r="AG16" s="14">
        <f t="shared" ref="AG16:AH16" si="5">SUM(AG17:AG19)</f>
        <v>6223.07070614236</v>
      </c>
      <c r="AH16" s="14">
        <f t="shared" si="5"/>
        <v>1005.5268153051607</v>
      </c>
    </row>
    <row r="17" spans="3:34" x14ac:dyDescent="0.35">
      <c r="C17" s="25">
        <f>AF17*' KF Middle East'!I15/T17*' KF Middle East'!I139/' KF Middle East'!I$139*-1</f>
        <v>-115.44446127401802</v>
      </c>
      <c r="D17" s="25">
        <f>AF17*' KF Middle East'!I16/T17*' KF Middle East'!I139/' KF Middle East'!I$139*-1</f>
        <v>-30.441829287708053</v>
      </c>
      <c r="E17" s="25">
        <f>AF17*' KF Middle East'!I17/T17*' KF Middle East'!I139/' KF Middle East'!I$139*-1</f>
        <v>-1522.0914643854026</v>
      </c>
      <c r="F17" s="25">
        <f>AF17*' KF Middle East'!I18/T17*' KF Middle East'!I139/' KF Middle East'!I$139*-1</f>
        <v>-4290.916113381837</v>
      </c>
      <c r="G17" s="25"/>
      <c r="H17" s="25"/>
      <c r="I17" s="25">
        <f>AF17*' KF Middle East'!I19/T17*' KF Middle East'!I142/' KF Middle East'!I$142*-1</f>
        <v>-0.12561965318173887</v>
      </c>
      <c r="J17" s="25">
        <f>AF17*' KF Middle East'!I20*' KF Middle East'!I139/T17/' KF Middle East'!I$139*-1</f>
        <v>0</v>
      </c>
      <c r="K17" s="25">
        <f>AF17*' KF Middle East'!I21*' KF Middle East'!I141/T17/' KF Middle East'!I$141*-1</f>
        <v>-741.15595377225907</v>
      </c>
      <c r="L17" s="25">
        <f>AF17*' KF Middle East'!I22*' KF Middle East'!I142/T17/' KF Middle East'!I$142*-1</f>
        <v>0</v>
      </c>
      <c r="M17" s="25"/>
      <c r="N17" s="23">
        <f>SUM(C17:L17)</f>
        <v>-6700.1754417544062</v>
      </c>
      <c r="O17" s="6" t="s">
        <v>80</v>
      </c>
      <c r="P17" s="64" t="s">
        <v>81</v>
      </c>
      <c r="Q17" s="69" t="s">
        <v>79</v>
      </c>
      <c r="R17" s="69"/>
      <c r="S17" s="24">
        <f t="shared" si="1"/>
        <v>5471.3388704000008</v>
      </c>
      <c r="T17" s="37">
        <f>(' KF Middle East'!I15+' KF Middle East'!I16+' KF Middle East'!I17+' KF Middle East'!I18+' KF Middle East'!I20)*' KF Middle East'!I139+(' KF Middle East'!I19+' KF Middle East'!I22)*' KF Middle East'!I142+' KF Middle East'!I21*' KF Middle East'!I141</f>
        <v>0.81659635900031879</v>
      </c>
      <c r="U17" s="61"/>
      <c r="V17" s="25"/>
      <c r="W17" s="25"/>
      <c r="X17" s="25"/>
      <c r="Y17" s="25"/>
      <c r="Z17" s="25"/>
      <c r="AA17" s="25"/>
      <c r="AB17" s="25"/>
      <c r="AC17" s="25"/>
      <c r="AD17" s="25"/>
      <c r="AE17" s="25"/>
      <c r="AF17" s="25">
        <f>' KF Middle East'!I5*' KF Middle East'!I7*((' KF Middle East'!G15+' KF Middle East'!G16+' KF Middle East'!G17+' KF Middle East'!G18+' KF Middle East'!G20)*' KF Middle East'!G139+(' KF Middle East'!G19+' KF Middle East'!G22)*' KF Middle East'!G142+' KF Middle East'!G21*' KF Middle East'!G141)*-1</f>
        <v>5471.3388704000008</v>
      </c>
      <c r="AG17" s="25">
        <f>(S17+SUM(C17:M17))*-1</f>
        <v>1228.8365713544054</v>
      </c>
      <c r="AH17" s="29">
        <f>-(C17*Emissionsfaktorer!$B$2+D17*Emissionsfaktorer!$B$3+E17*Emissionsfaktorer!$B$4+F17*Emissionsfaktorer!$B$5+G17*Emissionsfaktorer!$B$6+H17*Emissionsfaktorer!$B$7+I17*Emissionsfaktorer!$B$8+J17*Emissionsfaktorer!$B$9+K17*Emissionsfaktorer!$B$10+L17*Emissionsfaktorer!$B$11+M17*Emissionsfaktorer!$B$12)</f>
        <v>371.22839357708705</v>
      </c>
    </row>
    <row r="18" spans="3:34" x14ac:dyDescent="0.35">
      <c r="C18" s="25">
        <f>AF18*' KF Middle East'!I24/T18*' KF Middle East'!I140/' KF Middle East'!I$140*-1</f>
        <v>0</v>
      </c>
      <c r="D18" s="25"/>
      <c r="E18" s="25">
        <f>AF18*' KF Middle East'!I25/T18*' KF Middle East'!I140/' KF Middle East'!I$140*-1</f>
        <v>-5611.6038217755422</v>
      </c>
      <c r="F18" s="25">
        <f>AF18*' KF Middle East'!I26/T18*' KF Middle East'!I140/' KF Middle East'!I$140*-1</f>
        <v>-294.69304872933139</v>
      </c>
      <c r="G18" s="25"/>
      <c r="H18" s="25"/>
      <c r="I18" s="25">
        <f>AF18*' KF Middle East'!I27/T18*' KF Middle East'!I142/' KF Middle East'!I$142*-1</f>
        <v>0</v>
      </c>
      <c r="J18" s="25">
        <f>AF18*' KF Middle East'!I28/T18*' KF Middle East'!I140/' KF Middle East'!I$140*-1</f>
        <v>0</v>
      </c>
      <c r="K18" s="25">
        <f>AF18*' KF Middle East'!I29/T18*' KF Middle East'!I141/' KF Middle East'!I$141*-1</f>
        <v>-1.7167398405658691</v>
      </c>
      <c r="L18" s="25">
        <f>AF18*' KF Middle East'!I30/T18*' KF Middle East'!I142/' KF Middle East'!I$142*-1</f>
        <v>0</v>
      </c>
      <c r="M18" s="25"/>
      <c r="N18" s="23">
        <f>SUM(C18:L18)</f>
        <v>-5908.0136103454388</v>
      </c>
      <c r="O18" s="6" t="s">
        <v>82</v>
      </c>
      <c r="P18" s="64" t="s">
        <v>83</v>
      </c>
      <c r="Q18" s="69" t="s">
        <v>79</v>
      </c>
      <c r="R18" s="69"/>
      <c r="S18" s="24">
        <f t="shared" si="1"/>
        <v>1773.5199639999998</v>
      </c>
      <c r="T18" s="37">
        <f>(' KF Middle East'!I24+' KF Middle East'!I25+' KF Middle East'!I26+' KF Middle East'!I28)*' KF Middle East'!I140+(' KF Middle East'!I27+' KF Middle East'!I30)*' KF Middle East'!I142+' KF Middle East'!I29*' KF Middle East'!I141</f>
        <v>0.3001888758168082</v>
      </c>
      <c r="U18" s="61"/>
      <c r="V18" s="25"/>
      <c r="W18" s="25"/>
      <c r="X18" s="25"/>
      <c r="Y18" s="25"/>
      <c r="Z18" s="25"/>
      <c r="AA18" s="25"/>
      <c r="AB18" s="25"/>
      <c r="AC18" s="25"/>
      <c r="AD18" s="25"/>
      <c r="AE18" s="25"/>
      <c r="AF18" s="25">
        <f>' KF Middle East'!I5*' KF Middle East'!I8*-1*((' KF Middle East'!G24+' KF Middle East'!G25+' KF Middle East'!G26+' KF Middle East'!G28)*' KF Middle East'!G140+(' KF Middle East'!G27+' KF Middle East'!G30)*' KF Middle East'!G142+' KF Middle East'!G29*' KF Middle East'!G141)</f>
        <v>1773.5199639999998</v>
      </c>
      <c r="AG18" s="25">
        <f>(S18+SUM(C18:M18))*-1</f>
        <v>4134.4936463454387</v>
      </c>
      <c r="AH18" s="29">
        <f>-(C18*Emissionsfaktorer!$B$2+D18*Emissionsfaktorer!$B$3+E18*Emissionsfaktorer!$B$4+F18*Emissionsfaktorer!$B$5+G18*Emissionsfaktorer!$B$6+H18*Emissionsfaktorer!$B$7+I18*Emissionsfaktorer!$B$8+J18*Emissionsfaktorer!$B$9+K18*Emissionsfaktorer!$B$10+L18*Emissionsfaktorer!$B$11+M18*Emissionsfaktorer!$B$12)</f>
        <v>443.27939423251308</v>
      </c>
    </row>
    <row r="19" spans="3:34" x14ac:dyDescent="0.35">
      <c r="C19" s="25">
        <f>SUM(C20:C24)</f>
        <v>-0.37686668065217649</v>
      </c>
      <c r="D19" s="25">
        <f t="shared" ref="D19:M19" si="6">SUM(D20:D24)</f>
        <v>0</v>
      </c>
      <c r="E19" s="25">
        <f t="shared" si="6"/>
        <v>-769.34296013614824</v>
      </c>
      <c r="F19" s="25">
        <f t="shared" si="6"/>
        <v>-2324.7922840447604</v>
      </c>
      <c r="G19" s="25">
        <f t="shared" si="6"/>
        <v>0</v>
      </c>
      <c r="H19" s="25">
        <f t="shared" si="6"/>
        <v>0</v>
      </c>
      <c r="I19" s="25">
        <f t="shared" si="6"/>
        <v>-11.389688123608957</v>
      </c>
      <c r="J19" s="25">
        <f t="shared" si="6"/>
        <v>-36.346115639144472</v>
      </c>
      <c r="K19" s="25">
        <f t="shared" si="6"/>
        <v>-2648.959262847502</v>
      </c>
      <c r="L19" s="25">
        <f t="shared" si="6"/>
        <v>0</v>
      </c>
      <c r="M19" s="25">
        <f t="shared" si="6"/>
        <v>0</v>
      </c>
      <c r="N19" s="23">
        <f>SUM(N20:N24)</f>
        <v>-5791.2071774718179</v>
      </c>
      <c r="O19" s="6" t="s">
        <v>84</v>
      </c>
      <c r="P19" s="64" t="s">
        <v>85</v>
      </c>
      <c r="Q19" s="69" t="s">
        <v>79</v>
      </c>
      <c r="R19" s="69"/>
      <c r="S19" s="24">
        <f t="shared" si="1"/>
        <v>4931.4666890293001</v>
      </c>
      <c r="T19" s="37">
        <v>0.8</v>
      </c>
      <c r="U19" s="61"/>
      <c r="V19" s="25">
        <f>SUM(V20:V24)</f>
        <v>0</v>
      </c>
      <c r="W19" s="25">
        <f t="shared" ref="W19:AH19" si="7">SUM(W20:W24)</f>
        <v>0</v>
      </c>
      <c r="X19" s="25">
        <f t="shared" si="7"/>
        <v>0</v>
      </c>
      <c r="Y19" s="25">
        <f t="shared" si="7"/>
        <v>0</v>
      </c>
      <c r="Z19" s="25">
        <f t="shared" si="7"/>
        <v>0</v>
      </c>
      <c r="AA19" s="25">
        <f t="shared" si="7"/>
        <v>0</v>
      </c>
      <c r="AB19" s="25">
        <f t="shared" si="7"/>
        <v>0</v>
      </c>
      <c r="AC19" s="25">
        <f t="shared" si="7"/>
        <v>0</v>
      </c>
      <c r="AD19" s="25">
        <f t="shared" si="7"/>
        <v>0</v>
      </c>
      <c r="AE19" s="25">
        <f t="shared" si="7"/>
        <v>0</v>
      </c>
      <c r="AF19" s="25">
        <f t="shared" si="7"/>
        <v>4931.4666890293001</v>
      </c>
      <c r="AG19" s="25">
        <f t="shared" si="7"/>
        <v>859.74048844251627</v>
      </c>
      <c r="AH19" s="25">
        <f t="shared" si="7"/>
        <v>191.01902749556058</v>
      </c>
    </row>
    <row r="20" spans="3:34" x14ac:dyDescent="0.35">
      <c r="C20" s="92">
        <f>AF20*' KF Middle East'!I$32/T20*' KF Middle East'!I$139/' KF Middle East'!I$139*-1</f>
        <v>-0.37686668065217649</v>
      </c>
      <c r="D20" s="92"/>
      <c r="E20" s="92">
        <f>AF20*' KF Middle East'!I33/T20*' KF Middle East'!I$140/' KF Middle East'!I$140*-1</f>
        <v>-548.63413887831291</v>
      </c>
      <c r="F20" s="92">
        <f>AF20*' KF Middle East'!I$34/T20*' KF Middle East'!I$140/' KF Middle East'!I$140*-1</f>
        <v>-1720.8988860847217</v>
      </c>
      <c r="G20" s="92"/>
      <c r="H20" s="92"/>
      <c r="I20" s="92">
        <f>AF20*' KF Middle East'!I$35/T20*' KF Middle East'!I$142/' KF Middle East'!I$142*-1</f>
        <v>-8.3748151256039218</v>
      </c>
      <c r="J20" s="92">
        <f>AF20*' KF Middle East'!I$36/T20*' KF Middle East'!I$140/' KF Middle East'!I$140*-1</f>
        <v>-17.922104368792393</v>
      </c>
      <c r="K20" s="92">
        <f>AF20*' KF Middle East'!I$37/T20*' KF Middle East'!I$141/' KF Middle East'!I$141*-1</f>
        <v>-1360.1955986249611</v>
      </c>
      <c r="L20" s="92">
        <f>AF20*' KF Middle East'!I$38/T20*' KF Middle East'!I$142/' KF Middle East'!I$142*-1</f>
        <v>0</v>
      </c>
      <c r="M20" s="92"/>
      <c r="N20" s="23">
        <f>SUM(C20:L20)</f>
        <v>-3656.4024097630445</v>
      </c>
      <c r="O20" s="84" t="s">
        <v>86</v>
      </c>
      <c r="P20" s="85" t="s">
        <v>87</v>
      </c>
      <c r="Q20" s="86" t="s">
        <v>85</v>
      </c>
      <c r="R20" s="86"/>
      <c r="S20" s="24">
        <f t="shared" si="1"/>
        <v>3130.8262306293004</v>
      </c>
      <c r="T20" s="37">
        <f>(' KF Middle East'!I32+' KF Middle East'!I33+' KF Middle East'!I34+' KF Middle East'!I36)*' KF Middle East'!I139+(' KF Middle East'!I35+' KF Middle East'!I38)*' KF Middle East'!I142+' KF Middle East'!I37*' KF Middle East'!I141</f>
        <v>0.85625866077256951</v>
      </c>
      <c r="U20" s="61"/>
      <c r="V20" s="92"/>
      <c r="W20" s="92"/>
      <c r="X20" s="92"/>
      <c r="Y20" s="92"/>
      <c r="Z20" s="92"/>
      <c r="AA20" s="92"/>
      <c r="AB20" s="92"/>
      <c r="AC20" s="92"/>
      <c r="AD20" s="92"/>
      <c r="AE20" s="92"/>
      <c r="AF20" s="92">
        <f>' KF Middle East'!I5*' KF Middle East'!I9*((' KF Middle East'!G32+' KF Middle East'!G33+' KF Middle East'!G34+' KF Middle East'!G36)*' KF Middle East'!G139+(' KF Middle East'!G35+' KF Middle East'!G38)*' KF Middle East'!G142+' KF Middle East'!G37*' KF Middle East'!G141)*-1</f>
        <v>3130.8262306293004</v>
      </c>
      <c r="AG20" s="92">
        <f>(N20+AF20)*-1</f>
        <v>525.57617913374406</v>
      </c>
      <c r="AH20" s="87">
        <f>-(C20*Emissionsfaktorer!$B$2+D20*Emissionsfaktorer!$B$3+E20*Emissionsfaktorer!$B$4+F20*Emissionsfaktorer!$B$5+G20*Emissionsfaktorer!$B$6+H20*Emissionsfaktorer!$B$7+I20*Emissionsfaktorer!$B$8+J20*Emissionsfaktorer!$B$9+K20*Emissionsfaktorer!$B$10+L20*Emissionsfaktorer!$B$11+M20*Emissionsfaktorer!$B$12)</f>
        <v>139.82323339624287</v>
      </c>
    </row>
    <row r="21" spans="3:34" x14ac:dyDescent="0.35">
      <c r="C21" s="92">
        <f>AF21*' KF Middle East'!I$40/T21*' KF Middle East'!I$139/' KF Middle East'!I$139*-1</f>
        <v>0</v>
      </c>
      <c r="D21" s="92"/>
      <c r="E21" s="92">
        <f>AF21*' KF Middle East'!I41/T21*' KF Middle East'!I$140/' KF Middle East'!I$140*-1</f>
        <v>-51.12722125783538</v>
      </c>
      <c r="F21" s="92">
        <f>AF21*' KF Middle East'!I$42/T21*' KF Middle East'!I$140/' KF Middle East'!I$140*-1</f>
        <v>-522.15925396003865</v>
      </c>
      <c r="G21" s="92"/>
      <c r="H21" s="92"/>
      <c r="I21" s="92">
        <f>AF21*' KF Middle East'!I$43/T21*' KF Middle East'!I$142/' KF Middle East'!I$142*-1</f>
        <v>-3.0148729980050351</v>
      </c>
      <c r="J21" s="92">
        <f>AF21*' KF Middle East'!I$44/T21*' KF Middle East'!I$140/' KF Middle East'!I$140*-1</f>
        <v>-11.222027270352074</v>
      </c>
      <c r="K21" s="92">
        <f>AF21*' KF Middle East'!I$45/T21*' KF Middle East'!I$141/' KF Middle East'!I$141*-1</f>
        <v>-923.05361622254122</v>
      </c>
      <c r="L21" s="92">
        <f>AF21*' KF Middle East'!I$46/T21*' KF Middle East'!I$142/' KF Middle East'!I$142*-1</f>
        <v>0</v>
      </c>
      <c r="M21" s="92"/>
      <c r="N21" s="23">
        <f t="shared" ref="N21:N24" si="8">SUM(C21:L21)</f>
        <v>-1510.5769917087723</v>
      </c>
      <c r="O21" s="84" t="s">
        <v>88</v>
      </c>
      <c r="P21" s="85" t="s">
        <v>89</v>
      </c>
      <c r="Q21" s="86" t="s">
        <v>85</v>
      </c>
      <c r="R21" s="86"/>
      <c r="S21" s="24">
        <f t="shared" si="1"/>
        <v>1347.5226104000001</v>
      </c>
      <c r="T21" s="37">
        <f>(' KF Middle East'!I40+' KF Middle East'!I41+' KF Middle East'!I42+' KF Middle East'!I44)*' KF Middle East'!I139+(' KF Middle East'!I43+' KF Middle East'!I46)*' KF Middle East'!I142+' KF Middle East'!I45*' KF Middle East'!I141</f>
        <v>0.8920582120582119</v>
      </c>
      <c r="U21" s="61"/>
      <c r="V21" s="92"/>
      <c r="W21" s="92"/>
      <c r="X21" s="92"/>
      <c r="Y21" s="92"/>
      <c r="Z21" s="92"/>
      <c r="AA21" s="92"/>
      <c r="AB21" s="92"/>
      <c r="AC21" s="92"/>
      <c r="AD21" s="92"/>
      <c r="AE21" s="92"/>
      <c r="AF21" s="92">
        <f>' KF Middle East'!I5*' KF Middle East'!I10*((' KF Middle East'!G40+' KF Middle East'!G41+' KF Middle East'!G42+' KF Middle East'!G44)*' KF Middle East'!G139+(' KF Middle East'!G43+' KF Middle East'!G46)*' KF Middle East'!G142+' KF Middle East'!G45*' KF Middle East'!G141)*-1</f>
        <v>1347.5226104000001</v>
      </c>
      <c r="AG21" s="92">
        <f t="shared" ref="AG21:AG24" si="9">(N21+AF21)*-1</f>
        <v>163.05438130877224</v>
      </c>
      <c r="AH21" s="87">
        <f>-(C21*Emissionsfaktorer!$B$2+D21*Emissionsfaktorer!$B$3+E21*Emissionsfaktorer!$B$4+F21*Emissionsfaktorer!$B$5+G21*Emissionsfaktorer!$B$6+H21*Emissionsfaktorer!$B$7+I21*Emissionsfaktorer!$B$8+J21*Emissionsfaktorer!$B$9+K21*Emissionsfaktorer!$B$10+L21*Emissionsfaktorer!$B$11+M21*Emissionsfaktorer!$B$12)</f>
        <v>33.648746291317693</v>
      </c>
    </row>
    <row r="22" spans="3:34" x14ac:dyDescent="0.35">
      <c r="C22" s="92">
        <f>AF22*' KF Middle East'!I$48/T22*' KF Middle East'!I$139/' KF Middle East'!I$139*-1</f>
        <v>0</v>
      </c>
      <c r="D22" s="92"/>
      <c r="E22" s="92">
        <f>AF22*' KF Middle East'!I49/T22*' KF Middle East'!I$140/' KF Middle East'!I$140*-1</f>
        <v>-122.09875200000002</v>
      </c>
      <c r="F22" s="92">
        <f>AF22*' KF Middle East'!I$50/T22*' KF Middle East'!I$140/' KF Middle East'!I$140*-1</f>
        <v>-80.143007999999995</v>
      </c>
      <c r="G22" s="92"/>
      <c r="H22" s="92"/>
      <c r="I22" s="92">
        <f>AF22*' KF Middle East'!I$51/T22*' KF Middle East'!I$142/' KF Middle East'!I$142*-1</f>
        <v>0</v>
      </c>
      <c r="J22" s="92">
        <f>AF22*' KF Middle East'!I$52/T22*' KF Middle East'!I$140/' KF Middle East'!I$140*-1</f>
        <v>0</v>
      </c>
      <c r="K22" s="92">
        <f>AF22*' KF Middle East'!I$53/T22*' KF Middle East'!I$141/' KF Middle East'!I$141*-1</f>
        <v>-171.34022399999998</v>
      </c>
      <c r="L22" s="92">
        <f>AF22*' KF Middle East'!I$54/T22*' KF Middle East'!I$142/' KF Middle East'!I$142*-1</f>
        <v>0</v>
      </c>
      <c r="M22" s="92"/>
      <c r="N22" s="23">
        <f t="shared" si="8"/>
        <v>-373.58198399999998</v>
      </c>
      <c r="O22" s="84" t="s">
        <v>90</v>
      </c>
      <c r="P22" s="85" t="s">
        <v>91</v>
      </c>
      <c r="Q22" s="86" t="s">
        <v>85</v>
      </c>
      <c r="R22" s="86"/>
      <c r="S22" s="24">
        <f t="shared" si="1"/>
        <v>223.44574079999998</v>
      </c>
      <c r="T22" s="37">
        <f>(' KF Middle East'!I48+' KF Middle East'!I49+' KF Middle East'!I50+' KF Middle East'!I52)*' KF Middle East'!I140+(' KF Middle East'!I51+' KF Middle East'!I54)*' KF Middle East'!I142+' KF Middle East'!I53*' KF Middle East'!I141</f>
        <v>0.59811701412239404</v>
      </c>
      <c r="U22" s="61"/>
      <c r="V22" s="92"/>
      <c r="W22" s="92"/>
      <c r="X22" s="92"/>
      <c r="Y22" s="92"/>
      <c r="Z22" s="92"/>
      <c r="AA22" s="92"/>
      <c r="AB22" s="92"/>
      <c r="AC22" s="92"/>
      <c r="AD22" s="92"/>
      <c r="AE22" s="92"/>
      <c r="AF22" s="92">
        <f>((' KF Middle East'!G48+' KF Middle East'!G49+' KF Middle East'!G50+' KF Middle East'!G52)*' KF Middle East'!G140+(' KF Middle East'!G51+' KF Middle East'!G54)*' KF Middle East'!G142+' KF Middle East'!G53*' KF Middle East'!G141)*' KF Middle East'!I11*' KF Middle East'!I5*-1</f>
        <v>223.44574079999998</v>
      </c>
      <c r="AG22" s="92">
        <f t="shared" si="9"/>
        <v>150.1362432</v>
      </c>
      <c r="AH22" s="87">
        <f>-(C22*Emissionsfaktorer!$B$2+D22*Emissionsfaktorer!$B$3+E22*Emissionsfaktorer!$B$4+F22*Emissionsfaktorer!$B$5+G22*Emissionsfaktorer!$B$6+H22*Emissionsfaktorer!$B$7+I22*Emissionsfaktorer!$B$8+J22*Emissionsfaktorer!$B$9+K22*Emissionsfaktorer!$B$10+L22*Emissionsfaktorer!$B$11+M22*Emissionsfaktorer!$B$12)</f>
        <v>13.847656608000001</v>
      </c>
    </row>
    <row r="23" spans="3:34" x14ac:dyDescent="0.35">
      <c r="C23" s="92">
        <f>AF23*' KF Middle East'!I$56/T23*' KF Middle East'!I$139/' KF Middle East'!I$139*-1</f>
        <v>0</v>
      </c>
      <c r="D23" s="92"/>
      <c r="E23" s="92">
        <f>AF23*' KF Middle East'!I57/T23*' KF Middle East'!I$140/' KF Middle East'!I$140*-1</f>
        <v>0</v>
      </c>
      <c r="F23" s="92">
        <f>AF23*' KF Middle East'!I$58/T23*' KF Middle East'!I$140/' KF Middle East'!I$140*-1</f>
        <v>0</v>
      </c>
      <c r="G23" s="92"/>
      <c r="H23" s="92"/>
      <c r="I23" s="92">
        <f>AF23*' KF Middle East'!I$59/T23*' KF Middle East'!I$142/' KF Middle East'!I$142*-1</f>
        <v>0</v>
      </c>
      <c r="J23" s="92">
        <f>AF23*' KF Middle East'!I$60/T23*' KF Middle East'!I$140/' KF Middle East'!I$140*-1</f>
        <v>0</v>
      </c>
      <c r="K23" s="92">
        <f>AF23*' KF Middle East'!I$61/T23*' KF Middle East'!I$141/' KF Middle East'!I$141*-1</f>
        <v>0</v>
      </c>
      <c r="L23" s="92">
        <f>AF23*' KF Middle East'!I$62/T23*' KF Middle East'!I$142/' KF Middle East'!I$142*-1</f>
        <v>0</v>
      </c>
      <c r="M23" s="92"/>
      <c r="N23" s="23">
        <f t="shared" si="8"/>
        <v>0</v>
      </c>
      <c r="O23" s="84" t="s">
        <v>92</v>
      </c>
      <c r="P23" s="85" t="s">
        <v>93</v>
      </c>
      <c r="Q23" s="86" t="s">
        <v>85</v>
      </c>
      <c r="R23" s="86"/>
      <c r="S23" s="24">
        <f t="shared" si="1"/>
        <v>0</v>
      </c>
      <c r="T23" s="37">
        <f>(' KF Middle East'!I56+' KF Middle East'!I57+' KF Middle East'!I58+' KF Middle East'!I60)*' KF Middle East'!I140+(' KF Middle East'!I59+' KF Middle East'!I62)*' KF Middle East'!I142+' KF Middle East'!I61*' KF Middle East'!I141</f>
        <v>0.95</v>
      </c>
      <c r="U23" s="61"/>
      <c r="V23" s="92"/>
      <c r="W23" s="92"/>
      <c r="X23" s="92"/>
      <c r="Y23" s="92"/>
      <c r="Z23" s="92"/>
      <c r="AA23" s="92"/>
      <c r="AB23" s="92"/>
      <c r="AC23" s="92"/>
      <c r="AD23" s="92"/>
      <c r="AE23" s="92"/>
      <c r="AF23" s="92">
        <f>((' KF Middle East'!G56+' KF Middle East'!G57+' KF Middle East'!G58+' KF Middle East'!G60)*' KF Middle East'!G140+(' KF Middle East'!G59+' KF Middle East'!G62)*' KF Middle East'!G142+' KF Middle East'!G61*' KF Middle East'!G141)*' KF Middle East'!I5*' KF Middle East'!I12*-1</f>
        <v>0</v>
      </c>
      <c r="AG23" s="92">
        <f t="shared" si="9"/>
        <v>0</v>
      </c>
      <c r="AH23" s="87">
        <f>-(C23*Emissionsfaktorer!$B$2+D23*Emissionsfaktorer!$B$3+E23*Emissionsfaktorer!$B$4+F23*Emissionsfaktorer!$B$5+G23*Emissionsfaktorer!$B$6+H23*Emissionsfaktorer!$B$7+I23*Emissionsfaktorer!$B$8+J23*Emissionsfaktorer!$B$9+K23*Emissionsfaktorer!$B$10+L23*Emissionsfaktorer!$B$11+M23*Emissionsfaktorer!$B$12)</f>
        <v>0</v>
      </c>
    </row>
    <row r="24" spans="3:34" x14ac:dyDescent="0.35">
      <c r="C24" s="92">
        <f>AF24*' KF Middle East'!I$64/T24*' KF Middle East'!I$139/' KF Middle East'!I$139*-1</f>
        <v>0</v>
      </c>
      <c r="D24" s="92"/>
      <c r="E24" s="92">
        <f>AF24*' KF Middle East'!I65/T24*' KF Middle East'!I$140/' KF Middle East'!I$140*-1</f>
        <v>-47.482848000000011</v>
      </c>
      <c r="F24" s="92">
        <f>AF24*' KF Middle East'!I$66/T24*' KF Middle East'!I$140/' KF Middle East'!I$140*-1</f>
        <v>-1.5911360000000003</v>
      </c>
      <c r="G24" s="92"/>
      <c r="H24" s="92"/>
      <c r="I24" s="92">
        <f>AF24*' KF Middle East'!I$67/T24*' KF Middle East'!I$142/' KF Middle East'!I$142*-1</f>
        <v>0</v>
      </c>
      <c r="J24" s="92">
        <f>AF24*' KF Middle East'!I$68/T24*' KF Middle East'!I$140/' KF Middle East'!I$140*-1</f>
        <v>-7.2019840000000013</v>
      </c>
      <c r="K24" s="92">
        <f>AF24*' KF Middle East'!I$69/T24*' KF Middle East'!I$141/' KF Middle East'!I$141*-1</f>
        <v>-194.36982399999999</v>
      </c>
      <c r="L24" s="92">
        <f>AF24*' KF Middle East'!I$70/T24*' KF Middle East'!I$142/' KF Middle East'!I$142*-1</f>
        <v>0</v>
      </c>
      <c r="M24" s="92"/>
      <c r="N24" s="23">
        <f t="shared" si="8"/>
        <v>-250.645792</v>
      </c>
      <c r="O24" s="84" t="s">
        <v>94</v>
      </c>
      <c r="P24" s="85" t="s">
        <v>95</v>
      </c>
      <c r="Q24" s="86" t="s">
        <v>85</v>
      </c>
      <c r="R24" s="86"/>
      <c r="S24" s="24">
        <f t="shared" si="1"/>
        <v>229.6721072</v>
      </c>
      <c r="T24" s="37">
        <f>(' KF Middle East'!I64+' KF Middle East'!I65+' KF Middle East'!I66+' KF Middle East'!I68)*' KF Middle East'!I139+(' KF Middle East'!I67+' KF Middle East'!I70)*' KF Middle East'!I142+' KF Middle East'!I69*' KF Middle East'!I141</f>
        <v>0.91632141663882383</v>
      </c>
      <c r="U24" s="61"/>
      <c r="V24" s="92"/>
      <c r="W24" s="92"/>
      <c r="X24" s="92"/>
      <c r="Y24" s="92"/>
      <c r="Z24" s="92"/>
      <c r="AA24" s="92"/>
      <c r="AB24" s="92"/>
      <c r="AC24" s="92"/>
      <c r="AD24" s="92"/>
      <c r="AE24" s="92"/>
      <c r="AF24" s="92">
        <f>((' KF Middle East'!G64+' KF Middle East'!G65+' KF Middle East'!G66+' KF Middle East'!G68)*' KF Middle East'!G139+(' KF Middle East'!G67+' KF Middle East'!G70)*' KF Middle East'!G142+' KF Middle East'!G69*' KF Middle East'!G141)*' KF Middle East'!I5*' KF Middle East'!I13*-1</f>
        <v>229.6721072</v>
      </c>
      <c r="AG24" s="92">
        <f t="shared" si="9"/>
        <v>20.973684800000001</v>
      </c>
      <c r="AH24" s="87">
        <f>-(C24*Emissionsfaktorer!$B$2+D24*Emissionsfaktorer!$B$3+E24*Emissionsfaktorer!$B$4+F24*Emissionsfaktorer!$B$5+G24*Emissionsfaktorer!$B$6+H24*Emissionsfaktorer!$B$7+I24*Emissionsfaktorer!$B$8+J24*Emissionsfaktorer!$B$9+K24*Emissionsfaktorer!$B$10+L24*Emissionsfaktorer!$B$11+M24*Emissionsfaktorer!$B$12)</f>
        <v>3.6993912000000009</v>
      </c>
    </row>
    <row r="25" spans="3:34" x14ac:dyDescent="0.35"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23">
        <f>N16</f>
        <v>-18399.059264</v>
      </c>
      <c r="O25" s="10" t="s">
        <v>11</v>
      </c>
      <c r="P25" s="71" t="s">
        <v>96</v>
      </c>
      <c r="Q25" s="71"/>
      <c r="R25" s="71"/>
      <c r="S25" s="24">
        <f t="shared" si="1"/>
        <v>12176.325523429301</v>
      </c>
      <c r="T25" s="37">
        <f>AF25/N25*-1</f>
        <v>0.66179065726766617</v>
      </c>
      <c r="U25" s="61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>
        <f>AF16</f>
        <v>12176.325523429301</v>
      </c>
      <c r="AG25" s="14">
        <f>-(S25+N25)</f>
        <v>6222.7337405706985</v>
      </c>
      <c r="AH25" s="14"/>
    </row>
    <row r="28" spans="3:34" x14ac:dyDescent="0.35">
      <c r="X28" s="95"/>
    </row>
    <row r="29" spans="3:34" x14ac:dyDescent="0.35">
      <c r="X29" s="95"/>
    </row>
    <row r="30" spans="3:34" x14ac:dyDescent="0.35">
      <c r="X30" s="95"/>
    </row>
  </sheetData>
  <pageMargins left="0.7" right="0.7" top="0.75" bottom="0.75" header="0.3" footer="0.3"/>
  <pageSetup paperSize="9" orientation="portrait" horizontalDpi="4294967293" verticalDpi="4294967293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Ark95"/>
  <dimension ref="A1:AH31"/>
  <sheetViews>
    <sheetView topLeftCell="Q1" zoomScale="130" zoomScaleNormal="130" workbookViewId="0">
      <selection activeCell="M10" sqref="M10"/>
    </sheetView>
  </sheetViews>
  <sheetFormatPr defaultRowHeight="14.5" x14ac:dyDescent="0.35"/>
  <cols>
    <col min="3" max="3" width="16.453125" customWidth="1"/>
    <col min="4" max="4" width="12.81640625" customWidth="1"/>
    <col min="5" max="5" width="12.54296875" customWidth="1"/>
    <col min="6" max="6" width="16.54296875" customWidth="1"/>
    <col min="10" max="10" width="12.54296875" customWidth="1"/>
    <col min="11" max="11" width="11.54296875" customWidth="1"/>
    <col min="14" max="14" width="10.81640625" customWidth="1"/>
    <col min="15" max="15" width="51.54296875" customWidth="1"/>
    <col min="16" max="18" width="15.81640625" customWidth="1"/>
    <col min="19" max="19" width="12.81640625" customWidth="1"/>
    <col min="24" max="24" width="14.1796875" bestFit="1" customWidth="1"/>
    <col min="33" max="34" width="11.26953125" customWidth="1"/>
  </cols>
  <sheetData>
    <row r="1" spans="1:34" ht="140" x14ac:dyDescent="0.35">
      <c r="B1" s="44" t="s">
        <v>0</v>
      </c>
      <c r="C1" s="3" t="s">
        <v>1</v>
      </c>
      <c r="D1" s="8" t="s">
        <v>2</v>
      </c>
      <c r="E1" s="2" t="s">
        <v>3</v>
      </c>
      <c r="F1" s="3" t="s">
        <v>4</v>
      </c>
      <c r="G1" s="1" t="s">
        <v>5</v>
      </c>
      <c r="H1" s="1" t="s">
        <v>6</v>
      </c>
      <c r="I1" s="1" t="s">
        <v>7</v>
      </c>
      <c r="J1" s="3" t="s">
        <v>8</v>
      </c>
      <c r="K1" s="2" t="s">
        <v>9</v>
      </c>
      <c r="L1" s="2" t="s">
        <v>10</v>
      </c>
      <c r="M1" s="17" t="s">
        <v>11</v>
      </c>
      <c r="N1" s="5" t="s">
        <v>12</v>
      </c>
      <c r="O1" s="4" t="s">
        <v>247</v>
      </c>
      <c r="P1" s="60"/>
      <c r="Q1" s="60"/>
      <c r="R1" s="12" t="s">
        <v>14</v>
      </c>
      <c r="S1" s="11" t="s">
        <v>15</v>
      </c>
      <c r="T1" s="12" t="s">
        <v>16</v>
      </c>
      <c r="U1" s="44" t="s">
        <v>17</v>
      </c>
      <c r="V1" s="3" t="s">
        <v>1</v>
      </c>
      <c r="W1" s="8" t="s">
        <v>2</v>
      </c>
      <c r="X1" s="9" t="s">
        <v>3</v>
      </c>
      <c r="Y1" s="3" t="s">
        <v>4</v>
      </c>
      <c r="Z1" s="1" t="s">
        <v>5</v>
      </c>
      <c r="AA1" s="1" t="s">
        <v>6</v>
      </c>
      <c r="AB1" s="1" t="s">
        <v>7</v>
      </c>
      <c r="AC1" s="3" t="s">
        <v>8</v>
      </c>
      <c r="AD1" s="2" t="s">
        <v>9</v>
      </c>
      <c r="AE1" s="2" t="s">
        <v>10</v>
      </c>
      <c r="AF1" s="17" t="s">
        <v>11</v>
      </c>
      <c r="AG1" s="13" t="s">
        <v>18</v>
      </c>
      <c r="AH1" s="13" t="s">
        <v>19</v>
      </c>
    </row>
    <row r="2" spans="1:34" ht="24.75" customHeight="1" x14ac:dyDescent="0.35">
      <c r="A2" s="45" t="s">
        <v>20</v>
      </c>
      <c r="B2" s="46" t="s">
        <v>21</v>
      </c>
      <c r="C2" s="46" t="s">
        <v>22</v>
      </c>
      <c r="D2" s="46" t="s">
        <v>23</v>
      </c>
      <c r="E2" s="47" t="s">
        <v>24</v>
      </c>
      <c r="F2" s="46" t="s">
        <v>25</v>
      </c>
      <c r="G2" s="46" t="s">
        <v>26</v>
      </c>
      <c r="H2" s="46" t="s">
        <v>27</v>
      </c>
      <c r="I2" s="46" t="s">
        <v>28</v>
      </c>
      <c r="J2" s="48" t="s">
        <v>29</v>
      </c>
      <c r="K2" s="47" t="s">
        <v>30</v>
      </c>
      <c r="L2" s="49" t="s">
        <v>31</v>
      </c>
      <c r="M2" s="49" t="s">
        <v>32</v>
      </c>
      <c r="N2" s="50" t="s">
        <v>33</v>
      </c>
      <c r="O2" s="51"/>
      <c r="P2" s="52" t="s">
        <v>20</v>
      </c>
      <c r="Q2" s="53" t="s">
        <v>34</v>
      </c>
      <c r="R2" s="50" t="s">
        <v>35</v>
      </c>
      <c r="S2" s="54" t="s">
        <v>36</v>
      </c>
      <c r="T2" s="50" t="s">
        <v>37</v>
      </c>
      <c r="U2" s="46" t="s">
        <v>38</v>
      </c>
      <c r="V2" s="46" t="s">
        <v>39</v>
      </c>
      <c r="W2" s="46" t="s">
        <v>40</v>
      </c>
      <c r="X2" s="47" t="s">
        <v>41</v>
      </c>
      <c r="Y2" s="46" t="s">
        <v>42</v>
      </c>
      <c r="Z2" s="46" t="s">
        <v>43</v>
      </c>
      <c r="AA2" s="46" t="s">
        <v>44</v>
      </c>
      <c r="AB2" s="46" t="s">
        <v>45</v>
      </c>
      <c r="AC2" s="46" t="s">
        <v>46</v>
      </c>
      <c r="AD2" s="47" t="s">
        <v>47</v>
      </c>
      <c r="AE2" s="47" t="s">
        <v>48</v>
      </c>
      <c r="AF2" s="49" t="s">
        <v>49</v>
      </c>
      <c r="AG2" s="46" t="s">
        <v>50</v>
      </c>
      <c r="AH2" s="46" t="s">
        <v>51</v>
      </c>
    </row>
    <row r="3" spans="1:34" ht="24.75" customHeight="1" x14ac:dyDescent="0.35">
      <c r="A3" s="45" t="s">
        <v>34</v>
      </c>
      <c r="B3" s="55"/>
      <c r="C3" s="56" t="s">
        <v>52</v>
      </c>
      <c r="D3" s="56" t="s">
        <v>52</v>
      </c>
      <c r="E3" s="56" t="s">
        <v>21</v>
      </c>
      <c r="F3" s="56" t="s">
        <v>21</v>
      </c>
      <c r="G3" s="56" t="s">
        <v>21</v>
      </c>
      <c r="H3" s="56" t="s">
        <v>52</v>
      </c>
      <c r="I3" s="56" t="s">
        <v>52</v>
      </c>
      <c r="J3" s="56" t="s">
        <v>21</v>
      </c>
      <c r="K3" s="56" t="s">
        <v>21</v>
      </c>
      <c r="L3" s="57" t="s">
        <v>21</v>
      </c>
      <c r="M3" s="57" t="s">
        <v>21</v>
      </c>
      <c r="N3" s="50"/>
      <c r="O3" s="51" t="s">
        <v>53</v>
      </c>
      <c r="P3" s="52"/>
      <c r="Q3" s="53"/>
      <c r="R3" s="74"/>
      <c r="S3" s="58"/>
      <c r="T3" s="59"/>
      <c r="U3" s="55"/>
      <c r="V3" s="56" t="s">
        <v>38</v>
      </c>
      <c r="W3" s="56" t="s">
        <v>38</v>
      </c>
      <c r="X3" s="56" t="s">
        <v>38</v>
      </c>
      <c r="Y3" s="56" t="s">
        <v>38</v>
      </c>
      <c r="Z3" s="56" t="s">
        <v>38</v>
      </c>
      <c r="AA3" s="56" t="s">
        <v>38</v>
      </c>
      <c r="AB3" s="56" t="s">
        <v>54</v>
      </c>
      <c r="AC3" s="56" t="s">
        <v>38</v>
      </c>
      <c r="AD3" s="56" t="s">
        <v>38</v>
      </c>
      <c r="AE3" s="56" t="s">
        <v>38</v>
      </c>
      <c r="AF3" s="57" t="s">
        <v>38</v>
      </c>
      <c r="AG3" s="56"/>
      <c r="AH3" s="56"/>
    </row>
    <row r="4" spans="1:34" ht="24.75" customHeight="1" x14ac:dyDescent="0.35">
      <c r="A4" s="72" t="s">
        <v>55</v>
      </c>
      <c r="B4" s="72"/>
      <c r="C4" s="56"/>
      <c r="D4" s="56"/>
      <c r="E4" s="56"/>
      <c r="F4" s="56"/>
      <c r="G4" s="56"/>
      <c r="H4" s="56"/>
      <c r="I4" s="56"/>
      <c r="J4" s="56"/>
      <c r="K4" s="56"/>
      <c r="L4" s="57"/>
      <c r="M4" s="57"/>
      <c r="N4" s="50"/>
      <c r="O4" s="51"/>
      <c r="P4" s="73"/>
      <c r="Q4" s="53"/>
      <c r="R4" s="74"/>
      <c r="S4" s="58"/>
      <c r="T4" s="59"/>
      <c r="U4" s="55">
        <f>B4</f>
        <v>0</v>
      </c>
      <c r="V4" s="56"/>
      <c r="W4" s="56"/>
      <c r="X4" s="56"/>
      <c r="Y4" s="56"/>
      <c r="Z4" s="56"/>
      <c r="AA4" s="56"/>
      <c r="AB4" s="56"/>
      <c r="AC4" s="56"/>
      <c r="AD4" s="56"/>
      <c r="AE4" s="56"/>
      <c r="AF4" s="57"/>
      <c r="AG4" s="56">
        <f>U4</f>
        <v>0</v>
      </c>
      <c r="AH4" s="56">
        <f>U4</f>
        <v>0</v>
      </c>
    </row>
    <row r="5" spans="1:34" x14ac:dyDescent="0.35">
      <c r="C5" s="14"/>
      <c r="D5" s="14"/>
      <c r="E5" s="14"/>
      <c r="F5" s="14"/>
      <c r="G5" s="14"/>
      <c r="H5" s="14"/>
      <c r="I5" s="14"/>
      <c r="J5" s="14"/>
      <c r="K5" s="14"/>
      <c r="L5" s="14"/>
      <c r="M5" s="14"/>
      <c r="N5" s="23">
        <f>SUM(C5:M5)</f>
        <v>0</v>
      </c>
      <c r="O5" s="10" t="s">
        <v>56</v>
      </c>
      <c r="P5" s="62" t="s">
        <v>57</v>
      </c>
      <c r="Q5" s="63"/>
      <c r="R5" s="63"/>
      <c r="S5" s="24">
        <f>SUM(V5:AF5)</f>
        <v>27385.223958821807</v>
      </c>
      <c r="T5" s="37"/>
      <c r="U5" s="61"/>
      <c r="V5" s="14">
        <f>-(C6+C5)</f>
        <v>132.05004534905206</v>
      </c>
      <c r="W5" s="14">
        <f>-(D6+D5)</f>
        <v>11513.392280817554</v>
      </c>
      <c r="X5" s="14"/>
      <c r="Y5" s="14">
        <f>-(F6+F5)</f>
        <v>15629.031084150554</v>
      </c>
      <c r="Z5" s="14">
        <f>-(G6+G5)</f>
        <v>74.104717123848445</v>
      </c>
      <c r="AA5" s="14"/>
      <c r="AB5" s="14"/>
      <c r="AC5" s="14">
        <f>-(J6+J5)</f>
        <v>36.645831380798057</v>
      </c>
      <c r="AD5" s="14"/>
      <c r="AE5" s="14"/>
      <c r="AF5" s="14"/>
      <c r="AG5" s="14"/>
      <c r="AH5" s="14"/>
    </row>
    <row r="6" spans="1:34" x14ac:dyDescent="0.35">
      <c r="C6" s="14">
        <f>-V6</f>
        <v>-132.05004534905206</v>
      </c>
      <c r="D6" s="14">
        <f>-W6</f>
        <v>-11513.392280817554</v>
      </c>
      <c r="E6" s="14"/>
      <c r="F6" s="14">
        <f>-Y6</f>
        <v>-15629.031084150554</v>
      </c>
      <c r="G6" s="14">
        <f>-Z6</f>
        <v>-74.104717123848445</v>
      </c>
      <c r="H6" s="14"/>
      <c r="I6" s="14"/>
      <c r="J6" s="14">
        <f>-AC6</f>
        <v>-36.645831380798057</v>
      </c>
      <c r="K6" s="14"/>
      <c r="L6" s="18"/>
      <c r="M6" s="18"/>
      <c r="N6" s="23">
        <f t="shared" ref="N6:N15" si="0">SUM(C6:M6)</f>
        <v>-27385.223958821807</v>
      </c>
      <c r="O6" s="22" t="s">
        <v>58</v>
      </c>
      <c r="P6" s="65" t="s">
        <v>59</v>
      </c>
      <c r="Q6" s="66"/>
      <c r="R6" s="66"/>
      <c r="S6" s="24">
        <f t="shared" ref="S6:S25" si="1">SUM(V6:AF6)</f>
        <v>27385.223958821807</v>
      </c>
      <c r="T6" s="37"/>
      <c r="U6" s="61"/>
      <c r="V6" s="14">
        <f>-(C16+C8)</f>
        <v>132.05004534905206</v>
      </c>
      <c r="W6" s="14">
        <f>-(D16+D8)</f>
        <v>11513.392280817554</v>
      </c>
      <c r="X6" s="14"/>
      <c r="Y6" s="14">
        <f>-(F16+F8)</f>
        <v>15629.031084150554</v>
      </c>
      <c r="Z6" s="14">
        <f>-(G16+G8)</f>
        <v>74.104717123848445</v>
      </c>
      <c r="AA6" s="14"/>
      <c r="AB6" s="14"/>
      <c r="AC6" s="14">
        <f>-(J16+J8)</f>
        <v>36.645831380798057</v>
      </c>
      <c r="AD6" s="14"/>
      <c r="AE6" s="14"/>
      <c r="AF6" s="14"/>
      <c r="AG6" s="21">
        <f>-(N6+S6)</f>
        <v>0</v>
      </c>
      <c r="AH6" s="21"/>
    </row>
    <row r="7" spans="1:34" x14ac:dyDescent="0.35"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23">
        <f t="shared" si="0"/>
        <v>0</v>
      </c>
      <c r="O7" s="22" t="s">
        <v>60</v>
      </c>
      <c r="P7" s="67" t="s">
        <v>61</v>
      </c>
      <c r="Q7" s="66"/>
      <c r="R7" s="66"/>
      <c r="S7" s="24">
        <f t="shared" si="1"/>
        <v>86.460974662426011</v>
      </c>
      <c r="T7" s="37"/>
      <c r="U7" s="61"/>
      <c r="V7" s="14"/>
      <c r="W7" s="14"/>
      <c r="X7" s="14"/>
      <c r="Y7" s="14"/>
      <c r="Z7" s="16"/>
      <c r="AA7" s="19">
        <f>-H8</f>
        <v>67.368381710335811</v>
      </c>
      <c r="AB7" s="19">
        <f>-I8</f>
        <v>19.092592952090197</v>
      </c>
      <c r="AC7" s="14"/>
      <c r="AD7" s="14"/>
      <c r="AE7" s="14"/>
      <c r="AF7" s="14"/>
      <c r="AG7" s="14"/>
      <c r="AH7" s="14"/>
    </row>
    <row r="8" spans="1:34" x14ac:dyDescent="0.35">
      <c r="C8" s="14">
        <f>SUM(C9:C13)</f>
        <v>-16.228717394381849</v>
      </c>
      <c r="D8" s="14">
        <f t="shared" ref="D8:M8" si="2">SUM(D9:D13)</f>
        <v>-11482.950451529847</v>
      </c>
      <c r="E8" s="14">
        <f t="shared" si="2"/>
        <v>-2156.5752463405934</v>
      </c>
      <c r="F8" s="14">
        <f t="shared" si="2"/>
        <v>-8718.6296379946252</v>
      </c>
      <c r="G8" s="14">
        <f t="shared" si="2"/>
        <v>-74.104717123848445</v>
      </c>
      <c r="H8" s="14">
        <f t="shared" si="2"/>
        <v>-67.368381710335811</v>
      </c>
      <c r="I8" s="14">
        <f t="shared" si="2"/>
        <v>-19.092592952090197</v>
      </c>
      <c r="J8" s="14">
        <f t="shared" si="2"/>
        <v>-0.29971574165358317</v>
      </c>
      <c r="K8" s="14">
        <f t="shared" si="2"/>
        <v>-228.16052799999997</v>
      </c>
      <c r="L8" s="14">
        <f t="shared" si="2"/>
        <v>0</v>
      </c>
      <c r="M8" s="14">
        <f t="shared" si="2"/>
        <v>0</v>
      </c>
      <c r="N8" s="23">
        <f t="shared" si="0"/>
        <v>-22763.409988787378</v>
      </c>
      <c r="O8" s="22" t="s">
        <v>62</v>
      </c>
      <c r="P8" s="67" t="s">
        <v>63</v>
      </c>
      <c r="Q8" s="66"/>
      <c r="R8" s="66"/>
      <c r="S8" s="24">
        <f t="shared" si="1"/>
        <v>14233.187320410387</v>
      </c>
      <c r="T8" s="37"/>
      <c r="U8" s="61"/>
      <c r="V8" s="14">
        <f>SUM(V9:V13)</f>
        <v>0</v>
      </c>
      <c r="W8" s="14"/>
      <c r="X8" s="14">
        <f>(E14+E8)*-1</f>
        <v>10059.613492637687</v>
      </c>
      <c r="Y8" s="14"/>
      <c r="Z8" s="14"/>
      <c r="AA8" s="14"/>
      <c r="AB8" s="14"/>
      <c r="AC8" s="14"/>
      <c r="AD8" s="14">
        <f>(K14+K8)*-1</f>
        <v>4173.5738277726996</v>
      </c>
      <c r="AE8" s="14">
        <f>(L14+L8)*-1</f>
        <v>0</v>
      </c>
      <c r="AF8" s="14"/>
      <c r="AG8" s="21">
        <f>-(N8+S8)</f>
        <v>8530.2226683769914</v>
      </c>
      <c r="AH8" s="21">
        <f>SUM(AH9:AH13)</f>
        <v>662.40333624004506</v>
      </c>
    </row>
    <row r="9" spans="1:34" x14ac:dyDescent="0.35">
      <c r="C9" s="26">
        <f>-($AD$9+$H$9+$I$9)/$T$9*' KF Middle East'!$H109</f>
        <v>-9.4035813943818489</v>
      </c>
      <c r="D9" s="26">
        <f>-($AD$9+$H$9+$I$9)/$T$9*' KF Middle East'!$H110</f>
        <v>-1020.4571713950374</v>
      </c>
      <c r="E9" s="26">
        <f>-($AD$9+$H$9+$I$9)/$T$9*' KF Middle East'!$H111</f>
        <v>-1575.6431183405934</v>
      </c>
      <c r="F9" s="26">
        <f>-($AD$9+$H$9+$I$9)/$T$9*' KF Middle East'!$H112</f>
        <v>-7019.3801339946249</v>
      </c>
      <c r="G9" s="26">
        <f>-($AD$9+$H$9+$I$9)/$T$9*' KF Middle East'!$H113</f>
        <v>-74.104717123848445</v>
      </c>
      <c r="H9" s="26">
        <f>AD9*' KF Middle East'!H94*-1</f>
        <v>-67.368381710335811</v>
      </c>
      <c r="I9" s="26">
        <f>AD9*' KF Middle East'!H95*-1</f>
        <v>-19.092592952090197</v>
      </c>
      <c r="J9" s="26">
        <f>-($AD$9+$H$9+$I$9)/$T$9*' KF Middle East'!$H114</f>
        <v>-0.29971574165358317</v>
      </c>
      <c r="K9" s="25"/>
      <c r="L9" s="25"/>
      <c r="M9" s="25"/>
      <c r="N9" s="23">
        <f t="shared" si="0"/>
        <v>-9785.7494126525653</v>
      </c>
      <c r="O9" s="6" t="s">
        <v>64</v>
      </c>
      <c r="P9" s="68" t="s">
        <v>65</v>
      </c>
      <c r="Q9" s="69" t="s">
        <v>63</v>
      </c>
      <c r="R9" s="69"/>
      <c r="S9" s="24">
        <f t="shared" si="1"/>
        <v>4173.5738277726996</v>
      </c>
      <c r="T9" s="37">
        <f>' KF Middle East'!H104</f>
        <v>0.42138275186269175</v>
      </c>
      <c r="U9" s="61"/>
      <c r="V9" s="28"/>
      <c r="W9" s="28"/>
      <c r="X9" s="28"/>
      <c r="Y9" s="28"/>
      <c r="Z9" s="28"/>
      <c r="AA9" s="28"/>
      <c r="AB9" s="28"/>
      <c r="AC9" s="28"/>
      <c r="AD9" s="28">
        <f>AD8-AD10</f>
        <v>4173.5738277726996</v>
      </c>
      <c r="AE9" s="28"/>
      <c r="AF9" s="28"/>
      <c r="AG9" s="29">
        <f>-(S9+N9)</f>
        <v>5612.1755848798657</v>
      </c>
      <c r="AH9" s="29">
        <f>-(C9*Emissionsfaktorer!$B$2*(1-' KF Middle East'!H134)+D9*Emissionsfaktorer!$B$3+E9*Emissionsfaktorer!$B$4*(1-' KF Middle East'!H135)+F9*Emissionsfaktorer!$B$5*(1-' KF Middle East'!H136)+G9*Emissionsfaktorer!$B$6+H9*Emissionsfaktorer!$B$7+I9*Emissionsfaktorer!$B$8-J9*Emissionsfaktorer!B13*' KF Middle East'!H137+K9*Emissionsfaktorer!$B$10+L9*Emissionsfaktorer!$B$11+M9*Emissionsfaktorer!$B$12)</f>
        <v>520.746884864045</v>
      </c>
    </row>
    <row r="10" spans="1:34" x14ac:dyDescent="0.35">
      <c r="C10" s="26">
        <f>-($AD$10+$AE$10+$H$10+$I$10)/IF($T$10=0,1,T10)*' KF Middle East'!$H116</f>
        <v>0</v>
      </c>
      <c r="D10" s="26">
        <f>-($AD$10+$AE$10+$H$10+$I$10)/IF($T$10=0,1,T10)*' KF Middle East'!$H117</f>
        <v>0</v>
      </c>
      <c r="E10" s="26">
        <f>-($AD$10+$AE$10+$H$10+$I$10)/IF($T$10=0,1,T10)*' KF Middle East'!$H118</f>
        <v>0</v>
      </c>
      <c r="F10" s="26">
        <f>-($AD$10+$AE$10+$H$10+$I$10)/IF($T$10=0,1)*' KF Middle East'!$H119</f>
        <v>0</v>
      </c>
      <c r="G10" s="26">
        <f>-($AD$10+$AE$10+$H$10+$I$10)/IF($T$10=0,1,T10)*' KF Middle East'!$H120</f>
        <v>0</v>
      </c>
      <c r="H10" s="26"/>
      <c r="I10" s="26">
        <f>(AD10+AE10)*' KF Middle East'!H98*-1</f>
        <v>0</v>
      </c>
      <c r="J10" s="26">
        <f>-($AD$10+$AE$10+$H$10+$I$10)/IF($T$10=0,1,T10)*' KF Middle East'!$H121</f>
        <v>0</v>
      </c>
      <c r="K10" s="25"/>
      <c r="L10" s="25"/>
      <c r="M10" s="25"/>
      <c r="N10" s="23">
        <f t="shared" si="0"/>
        <v>0</v>
      </c>
      <c r="O10" s="6" t="s">
        <v>66</v>
      </c>
      <c r="P10" s="68" t="s">
        <v>67</v>
      </c>
      <c r="Q10" s="69" t="s">
        <v>63</v>
      </c>
      <c r="R10" s="69"/>
      <c r="S10" s="24">
        <f t="shared" si="1"/>
        <v>0</v>
      </c>
      <c r="T10" s="37">
        <f>' KF Middle East'!H105</f>
        <v>0</v>
      </c>
      <c r="U10" s="61"/>
      <c r="V10" s="28"/>
      <c r="W10" s="28"/>
      <c r="X10" s="28"/>
      <c r="Y10" s="28"/>
      <c r="Z10" s="28"/>
      <c r="AA10" s="28"/>
      <c r="AB10" s="28"/>
      <c r="AC10" s="28"/>
      <c r="AD10" s="28">
        <f>AE10*' KF Middle East'!H90</f>
        <v>0</v>
      </c>
      <c r="AE10" s="28">
        <f>AE8*' KF Middle East'!H85</f>
        <v>0</v>
      </c>
      <c r="AF10" s="28"/>
      <c r="AG10" s="29">
        <f t="shared" ref="AG10:AG11" si="3">-(S10+N10)</f>
        <v>0</v>
      </c>
      <c r="AH10" s="29">
        <f>-(C10*Emissionsfaktorer!$B$2*(1-' KF Middle East'!H135)+D10*Emissionsfaktorer!$B$3+E10*Emissionsfaktorer!$B$4*(1-' KF Middle East'!H136)+F10*Emissionsfaktorer!$B$5*(1-' KF Middle East'!H137)+G10*Emissionsfaktorer!$B$6+H10*Emissionsfaktorer!$B$7+I10*Emissionsfaktorer!$B$8-J10*Emissionsfaktorer!B14*' KF Middle East'!H142+K10*Emissionsfaktorer!$B$10+L10*Emissionsfaktorer!$B$11+M10*Emissionsfaktorer!$B$12)</f>
        <v>0</v>
      </c>
    </row>
    <row r="11" spans="1:34" x14ac:dyDescent="0.35">
      <c r="C11" s="26">
        <f>-($AE$11+$H$11+$I$11)/IF($T$11=0,1,$T$11)*' KF Middle East'!$H123</f>
        <v>0</v>
      </c>
      <c r="D11" s="26">
        <f>-($AE$11+$H$11+$I$11)/IF($T$11=0,1,$T$11)*' KF Middle East'!$H123</f>
        <v>0</v>
      </c>
      <c r="E11" s="26">
        <f>-($AE$11+$H$11+$I$11)/IF($T$11=0,1,$T$11)*' KF Middle East'!$H123</f>
        <v>0</v>
      </c>
      <c r="F11" s="26">
        <f>-($AE$11+$H$11+$I$11)/IF($T$11=0,1,$T$11)*' KF Middle East'!$H123</f>
        <v>0</v>
      </c>
      <c r="G11" s="26">
        <f>-($AE$11+$H$11+$I$11)/IF($T$11=0,1,T11)*' KF Middle East'!$H127</f>
        <v>0</v>
      </c>
      <c r="H11" s="26"/>
      <c r="I11" s="26">
        <f>AE11*' KF Middle East'!H101*-1</f>
        <v>0</v>
      </c>
      <c r="J11" s="26">
        <f>-($AE$11+$H$11+$I$11)/IF($T$11=0,1,T11)*' KF Middle East'!$H128</f>
        <v>0</v>
      </c>
      <c r="K11" s="28">
        <f>AE11*' KF Middle East'!H88*-1</f>
        <v>0</v>
      </c>
      <c r="L11" s="25"/>
      <c r="M11" s="25"/>
      <c r="N11" s="23">
        <f t="shared" si="0"/>
        <v>0</v>
      </c>
      <c r="O11" s="6" t="s">
        <v>68</v>
      </c>
      <c r="P11" s="64" t="s">
        <v>69</v>
      </c>
      <c r="Q11" s="69" t="s">
        <v>63</v>
      </c>
      <c r="R11" s="69"/>
      <c r="S11" s="24">
        <f t="shared" si="1"/>
        <v>0</v>
      </c>
      <c r="T11" s="37">
        <f>' KF Middle East'!H106</f>
        <v>0</v>
      </c>
      <c r="U11" s="61"/>
      <c r="V11" s="28"/>
      <c r="W11" s="28"/>
      <c r="X11" s="28"/>
      <c r="Y11" s="28"/>
      <c r="Z11" s="28"/>
      <c r="AA11" s="28"/>
      <c r="AB11" s="28"/>
      <c r="AC11" s="28"/>
      <c r="AD11" s="28"/>
      <c r="AE11" s="28">
        <f>AE8*' KF Middle East'!H86</f>
        <v>0</v>
      </c>
      <c r="AF11" s="28"/>
      <c r="AG11" s="29">
        <f t="shared" si="3"/>
        <v>0</v>
      </c>
      <c r="AH11" s="29">
        <f>-(C11*Emissionsfaktorer!$B$2+D11*Emissionsfaktorer!$B$3+E11*Emissionsfaktorer!$B$4+F11*Emissionsfaktorer!$B$5+G11*Emissionsfaktorer!$B$6+H11*Emissionsfaktorer!$B$7+I11*Emissionsfaktorer!$B$8+J11*Emissionsfaktorer!$B$9+K11*Emissionsfaktorer!$B$10+L11*Emissionsfaktorer!$B$11+M11*Emissionsfaktorer!$B$12)</f>
        <v>0</v>
      </c>
    </row>
    <row r="12" spans="1:34" x14ac:dyDescent="0.35">
      <c r="C12" s="26"/>
      <c r="D12" s="26">
        <f>-X12/IF(T12=0,1,T12)*' KF Middle East'!H130</f>
        <v>-10329.465936134809</v>
      </c>
      <c r="E12" s="25"/>
      <c r="F12" s="26"/>
      <c r="G12" s="26"/>
      <c r="H12" s="26"/>
      <c r="I12" s="26"/>
      <c r="J12" s="27">
        <f>-X12/T12*' KF Middle East'!H131</f>
        <v>0</v>
      </c>
      <c r="K12" s="25"/>
      <c r="L12" s="25"/>
      <c r="M12" s="25"/>
      <c r="N12" s="23">
        <f t="shared" si="0"/>
        <v>-10329.465936134809</v>
      </c>
      <c r="O12" s="6" t="s">
        <v>70</v>
      </c>
      <c r="P12" s="64" t="s">
        <v>71</v>
      </c>
      <c r="Q12" s="69" t="s">
        <v>63</v>
      </c>
      <c r="R12" s="69"/>
      <c r="S12" s="24">
        <f t="shared" si="1"/>
        <v>10059.613492637687</v>
      </c>
      <c r="T12" s="37">
        <f>' KF Middle East'!H107</f>
        <v>0.97387546992597962</v>
      </c>
      <c r="U12" s="61"/>
      <c r="V12" s="28"/>
      <c r="W12" s="28"/>
      <c r="X12" s="28">
        <f>-(E9+E10+E11+E13+E14)</f>
        <v>10059.613492637687</v>
      </c>
      <c r="Y12" s="28"/>
      <c r="Z12" s="28"/>
      <c r="AA12" s="28"/>
      <c r="AB12" s="28"/>
      <c r="AC12" s="28"/>
      <c r="AD12" s="28"/>
      <c r="AE12" s="28"/>
      <c r="AF12" s="28"/>
      <c r="AG12" s="29">
        <f>-(S12+N12)</f>
        <v>269.85244349712229</v>
      </c>
      <c r="AH12" s="29">
        <f>J12*Emissionsfaktorer!B4</f>
        <v>0</v>
      </c>
    </row>
    <row r="13" spans="1:34" x14ac:dyDescent="0.35">
      <c r="C13" s="28">
        <f>N13*' KF Middle East'!H79</f>
        <v>-6.8251359999999996</v>
      </c>
      <c r="D13" s="28">
        <f>N13*' KF Middle East'!H81</f>
        <v>-133.027344</v>
      </c>
      <c r="E13" s="28">
        <f>N13*' KF Middle East'!H82</f>
        <v>-580.93212800000003</v>
      </c>
      <c r="F13" s="28">
        <f>N13*' KF Middle East'!H80</f>
        <v>-1699.2495040000001</v>
      </c>
      <c r="G13" s="28"/>
      <c r="H13" s="28"/>
      <c r="I13" s="28"/>
      <c r="J13" s="36">
        <f>N13*' KF Middle East'!H83</f>
        <v>0</v>
      </c>
      <c r="K13" s="28">
        <f>N13*' KF Middle East'!H77</f>
        <v>-228.16052799999997</v>
      </c>
      <c r="L13" s="28">
        <f>N13*' KF Middle East'!H78</f>
        <v>0</v>
      </c>
      <c r="M13" s="25"/>
      <c r="N13" s="23">
        <f>N16*' KF Middle East'!H75</f>
        <v>-2648.1946400000002</v>
      </c>
      <c r="O13" s="6" t="s">
        <v>72</v>
      </c>
      <c r="P13" s="64" t="s">
        <v>73</v>
      </c>
      <c r="Q13" s="69" t="s">
        <v>63</v>
      </c>
      <c r="R13" s="69"/>
      <c r="S13" s="24">
        <f t="shared" si="1"/>
        <v>0</v>
      </c>
      <c r="T13" s="37">
        <v>0</v>
      </c>
      <c r="U13" s="61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9">
        <f>-(S13+N13)</f>
        <v>2648.1946400000002</v>
      </c>
      <c r="AH13" s="29">
        <f>-(C13*Emissionsfaktorer!$B$2+D13*Emissionsfaktorer!$B$3+E13*Emissionsfaktorer!$B$4+F13*Emissionsfaktorer!$B$5+G13*Emissionsfaktorer!$B$6+H13*Emissionsfaktorer!$B$7+I13*Emissionsfaktorer!$B$8+J13*Emissionsfaktorer!$B$9+K13*Emissionsfaktorer!$B$10+L13*Emissionsfaktorer!$B$11+M13*Emissionsfaktorer!$B$12)</f>
        <v>141.65645137600001</v>
      </c>
    </row>
    <row r="14" spans="1:34" x14ac:dyDescent="0.35">
      <c r="C14" s="15"/>
      <c r="D14" s="15"/>
      <c r="E14" s="16">
        <f>-X14*1</f>
        <v>-7903.0382462970929</v>
      </c>
      <c r="F14" s="15"/>
      <c r="G14" s="15"/>
      <c r="H14" s="15"/>
      <c r="I14" s="15"/>
      <c r="J14" s="20"/>
      <c r="K14" s="16">
        <f>-AD14*(1+' KF Middle East'!H72)</f>
        <v>-3945.4132997726992</v>
      </c>
      <c r="L14" s="16">
        <f>-AE14*(1+' KF Middle East'!H73)</f>
        <v>0</v>
      </c>
      <c r="M14" s="16"/>
      <c r="N14" s="23">
        <f t="shared" si="0"/>
        <v>-11848.451546069791</v>
      </c>
      <c r="O14" s="22" t="s">
        <v>74</v>
      </c>
      <c r="P14" s="66" t="s">
        <v>75</v>
      </c>
      <c r="Q14" s="70"/>
      <c r="R14" s="70"/>
      <c r="S14" s="24">
        <f t="shared" si="1"/>
        <v>11294.87020275742</v>
      </c>
      <c r="T14" s="37"/>
      <c r="U14" s="61"/>
      <c r="V14" s="16"/>
      <c r="W14" s="16"/>
      <c r="X14" s="16">
        <f>-E16</f>
        <v>7903.0382462970929</v>
      </c>
      <c r="Y14" s="16"/>
      <c r="Z14" s="16"/>
      <c r="AA14" s="16"/>
      <c r="AB14" s="16"/>
      <c r="AC14" s="16"/>
      <c r="AD14" s="16">
        <f>-K16</f>
        <v>3391.8319564603271</v>
      </c>
      <c r="AE14" s="16">
        <f>-L16</f>
        <v>0</v>
      </c>
      <c r="AF14" s="16"/>
      <c r="AG14" s="21">
        <f>-(N14+S14)</f>
        <v>553.58134331237125</v>
      </c>
      <c r="AH14" s="21"/>
    </row>
    <row r="15" spans="1:34" x14ac:dyDescent="0.35"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23">
        <f t="shared" si="0"/>
        <v>0</v>
      </c>
      <c r="O15" s="22" t="s">
        <v>76</v>
      </c>
      <c r="P15" s="67" t="s">
        <v>77</v>
      </c>
      <c r="Q15" s="66"/>
      <c r="R15" s="66"/>
      <c r="S15" s="24">
        <f t="shared" si="1"/>
        <v>11.515307776790696</v>
      </c>
      <c r="T15" s="37"/>
      <c r="U15" s="61"/>
      <c r="V15" s="14"/>
      <c r="W15" s="14"/>
      <c r="X15" s="14"/>
      <c r="Y15" s="14"/>
      <c r="Z15" s="14"/>
      <c r="AA15" s="14"/>
      <c r="AB15" s="14">
        <f>I16*-1</f>
        <v>11.515307776790696</v>
      </c>
      <c r="AC15" s="14"/>
      <c r="AD15" s="14"/>
      <c r="AE15" s="14"/>
      <c r="AF15" s="14"/>
      <c r="AG15" s="14"/>
      <c r="AH15" s="14"/>
    </row>
    <row r="16" spans="1:34" x14ac:dyDescent="0.35">
      <c r="C16" s="14">
        <f t="shared" ref="C16:M16" si="4">SUM(C17:C19)</f>
        <v>-115.8213279546702</v>
      </c>
      <c r="D16" s="14">
        <f t="shared" si="4"/>
        <v>-30.441829287708053</v>
      </c>
      <c r="E16" s="14">
        <f t="shared" si="4"/>
        <v>-7903.0382462970929</v>
      </c>
      <c r="F16" s="14">
        <f t="shared" si="4"/>
        <v>-6910.4014461559291</v>
      </c>
      <c r="G16" s="14">
        <f t="shared" si="4"/>
        <v>0</v>
      </c>
      <c r="H16" s="14">
        <f t="shared" si="4"/>
        <v>0</v>
      </c>
      <c r="I16" s="14">
        <f t="shared" si="4"/>
        <v>-11.515307776790696</v>
      </c>
      <c r="J16" s="14">
        <f t="shared" si="4"/>
        <v>-36.346115639144472</v>
      </c>
      <c r="K16" s="14">
        <f t="shared" si="4"/>
        <v>-3391.8319564603271</v>
      </c>
      <c r="L16" s="14">
        <f t="shared" si="4"/>
        <v>0</v>
      </c>
      <c r="M16" s="14">
        <f t="shared" si="4"/>
        <v>0</v>
      </c>
      <c r="N16" s="23">
        <f>' KF Middle East'!H5</f>
        <v>-18399.059264</v>
      </c>
      <c r="O16" s="10" t="s">
        <v>78</v>
      </c>
      <c r="P16" s="71" t="s">
        <v>79</v>
      </c>
      <c r="Q16" s="71"/>
      <c r="R16" s="71"/>
      <c r="S16" s="24">
        <f t="shared" si="1"/>
        <v>12176.325523429301</v>
      </c>
      <c r="T16" s="37"/>
      <c r="U16" s="61"/>
      <c r="V16" s="14"/>
      <c r="W16" s="14"/>
      <c r="X16" s="14"/>
      <c r="Y16" s="14"/>
      <c r="Z16" s="14"/>
      <c r="AA16" s="14"/>
      <c r="AB16" s="14"/>
      <c r="AC16" s="14"/>
      <c r="AD16" s="14"/>
      <c r="AE16" s="14"/>
      <c r="AF16" s="14">
        <f>SUM(AF17:AF19)</f>
        <v>12176.325523429301</v>
      </c>
      <c r="AG16" s="14">
        <f t="shared" ref="AG16:AH16" si="5">SUM(AG17:AG19)</f>
        <v>6223.07070614236</v>
      </c>
      <c r="AH16" s="14">
        <f t="shared" si="5"/>
        <v>1005.5268153051607</v>
      </c>
    </row>
    <row r="17" spans="3:34" x14ac:dyDescent="0.35">
      <c r="C17" s="25">
        <f>AF17*' KF Middle East'!H15/T17*' KF Middle East'!H139/' KF Middle East'!H$139*-1</f>
        <v>-115.44446127401802</v>
      </c>
      <c r="D17" s="25">
        <f>AF17*' KF Middle East'!H16/T17*' KF Middle East'!H139/' KF Middle East'!H$139*-1</f>
        <v>-30.441829287708053</v>
      </c>
      <c r="E17" s="25">
        <f>AF17*' KF Middle East'!H17/T17*' KF Middle East'!H139/' KF Middle East'!H$139*-1</f>
        <v>-1522.0914643854026</v>
      </c>
      <c r="F17" s="25">
        <f>AF17*' KF Middle East'!H18/T17*' KF Middle East'!H139/' KF Middle East'!H$139*-1</f>
        <v>-4290.916113381837</v>
      </c>
      <c r="G17" s="25"/>
      <c r="H17" s="25"/>
      <c r="I17" s="25">
        <f>AF17*' KF Middle East'!H19/T17*' KF Middle East'!H142/' KF Middle East'!H$142*-1</f>
        <v>-0.12561965318173887</v>
      </c>
      <c r="J17" s="25">
        <f>AF17*' KF Middle East'!H20*' KF Middle East'!H139/T17/' KF Middle East'!H$139*-1</f>
        <v>0</v>
      </c>
      <c r="K17" s="25">
        <f>AF17*' KF Middle East'!H21*' KF Middle East'!H141/T17/' KF Middle East'!H$141*-1</f>
        <v>-741.15595377225907</v>
      </c>
      <c r="L17" s="25">
        <f>AF17*' KF Middle East'!H22*' KF Middle East'!H142/T17/' KF Middle East'!H$142*-1</f>
        <v>0</v>
      </c>
      <c r="M17" s="25"/>
      <c r="N17" s="23">
        <f>SUM(C17:L17)</f>
        <v>-6700.1754417544062</v>
      </c>
      <c r="O17" s="6" t="s">
        <v>80</v>
      </c>
      <c r="P17" s="64" t="s">
        <v>81</v>
      </c>
      <c r="Q17" s="69" t="s">
        <v>79</v>
      </c>
      <c r="R17" s="69"/>
      <c r="S17" s="24">
        <f t="shared" si="1"/>
        <v>5471.3388704000008</v>
      </c>
      <c r="T17" s="37">
        <f>(' KF Middle East'!H15+' KF Middle East'!H16+' KF Middle East'!H17+' KF Middle East'!H18+' KF Middle East'!H20)*' KF Middle East'!H139+(' KF Middle East'!H19+' KF Middle East'!H22)*' KF Middle East'!H142+' KF Middle East'!H21*' KF Middle East'!H141</f>
        <v>0.81659635900031879</v>
      </c>
      <c r="U17" s="61"/>
      <c r="V17" s="25"/>
      <c r="W17" s="25"/>
      <c r="X17" s="25"/>
      <c r="Y17" s="25"/>
      <c r="Z17" s="25"/>
      <c r="AA17" s="25"/>
      <c r="AB17" s="25"/>
      <c r="AC17" s="25"/>
      <c r="AD17" s="25"/>
      <c r="AE17" s="25"/>
      <c r="AF17" s="25">
        <f>' KF Middle East'!H5*' KF Middle East'!H7*((' KF Middle East'!G15+' KF Middle East'!G16+' KF Middle East'!G17+' KF Middle East'!G18+' KF Middle East'!G20)*' KF Middle East'!G139+(' KF Middle East'!G19+' KF Middle East'!G22)*' KF Middle East'!G142+' KF Middle East'!G21*' KF Middle East'!G141)*-1</f>
        <v>5471.3388704000008</v>
      </c>
      <c r="AG17" s="25">
        <f>(S17+SUM(C17:M17))*-1</f>
        <v>1228.8365713544054</v>
      </c>
      <c r="AH17" s="29">
        <f>-(C17*Emissionsfaktorer!$B$2+D17*Emissionsfaktorer!$B$3+E17*Emissionsfaktorer!$B$4+F17*Emissionsfaktorer!$B$5+G17*Emissionsfaktorer!$B$6+H17*Emissionsfaktorer!$B$7+I17*Emissionsfaktorer!$B$8+J17*Emissionsfaktorer!$B$9+K17*Emissionsfaktorer!$B$10+L17*Emissionsfaktorer!$B$11+M17*Emissionsfaktorer!$B$12)</f>
        <v>371.22839357708705</v>
      </c>
    </row>
    <row r="18" spans="3:34" x14ac:dyDescent="0.35">
      <c r="C18" s="25">
        <f>AF18*' KF Middle East'!H24/T18*' KF Middle East'!H140/' KF Middle East'!H$140*-1</f>
        <v>0</v>
      </c>
      <c r="D18" s="25"/>
      <c r="E18" s="25">
        <f>AF18*' KF Middle East'!H25/T18*' KF Middle East'!H140/' KF Middle East'!H$140*-1</f>
        <v>-5611.6038217755422</v>
      </c>
      <c r="F18" s="25">
        <f>AF18*' KF Middle East'!H26/T18*' KF Middle East'!H140/' KF Middle East'!H$140*-1</f>
        <v>-294.69304872933139</v>
      </c>
      <c r="G18" s="25"/>
      <c r="H18" s="25"/>
      <c r="I18" s="25">
        <f>AF18*' KF Middle East'!H27/T18*' KF Middle East'!H142/' KF Middle East'!H$142*-1</f>
        <v>0</v>
      </c>
      <c r="J18" s="25">
        <f>AF18*' KF Middle East'!H28/T18*' KF Middle East'!H140/' KF Middle East'!H$140*-1</f>
        <v>0</v>
      </c>
      <c r="K18" s="25">
        <f>AF18*' KF Middle East'!H29/T18*' KF Middle East'!H141/' KF Middle East'!H$141*-1</f>
        <v>-1.7167398405658691</v>
      </c>
      <c r="L18" s="25">
        <f>AF18*' KF Middle East'!H30/T18*' KF Middle East'!H142/' KF Middle East'!H$142*-1</f>
        <v>0</v>
      </c>
      <c r="M18" s="25"/>
      <c r="N18" s="23">
        <f>SUM(C18:L18)</f>
        <v>-5908.0136103454388</v>
      </c>
      <c r="O18" s="6" t="s">
        <v>82</v>
      </c>
      <c r="P18" s="64" t="s">
        <v>83</v>
      </c>
      <c r="Q18" s="69" t="s">
        <v>79</v>
      </c>
      <c r="R18" s="69"/>
      <c r="S18" s="24">
        <f t="shared" si="1"/>
        <v>1773.5199639999998</v>
      </c>
      <c r="T18" s="37">
        <f>(' KF Middle East'!H24+' KF Middle East'!H25+' KF Middle East'!H26+' KF Middle East'!H28)*' KF Middle East'!H140+(' KF Middle East'!H27+' KF Middle East'!H30)*' KF Middle East'!H142+' KF Middle East'!H29*' KF Middle East'!H141</f>
        <v>0.3001888758168082</v>
      </c>
      <c r="U18" s="61"/>
      <c r="V18" s="25"/>
      <c r="W18" s="25"/>
      <c r="X18" s="25"/>
      <c r="Y18" s="25"/>
      <c r="Z18" s="25"/>
      <c r="AA18" s="25"/>
      <c r="AB18" s="25"/>
      <c r="AC18" s="25"/>
      <c r="AD18" s="25"/>
      <c r="AE18" s="25"/>
      <c r="AF18" s="25">
        <f>' KF Middle East'!H5*' KF Middle East'!H8*-1*((' KF Middle East'!G24+' KF Middle East'!G25+' KF Middle East'!G26+' KF Middle East'!G28)*' KF Middle East'!G140+(' KF Middle East'!G27+' KF Middle East'!G30)*' KF Middle East'!G142+' KF Middle East'!G29*' KF Middle East'!G141)</f>
        <v>1773.5199639999998</v>
      </c>
      <c r="AG18" s="25">
        <f>(S18+SUM(C18:M18))*-1</f>
        <v>4134.4936463454387</v>
      </c>
      <c r="AH18" s="29">
        <f>-(C18*Emissionsfaktorer!$B$2+D18*Emissionsfaktorer!$B$3+E18*Emissionsfaktorer!$B$4+F18*Emissionsfaktorer!$B$5+G18*Emissionsfaktorer!$B$6+H18*Emissionsfaktorer!$B$7+I18*Emissionsfaktorer!$B$8+J18*Emissionsfaktorer!$B$9+K18*Emissionsfaktorer!$B$10+L18*Emissionsfaktorer!$B$11+M18*Emissionsfaktorer!$B$12)</f>
        <v>443.27939423251308</v>
      </c>
    </row>
    <row r="19" spans="3:34" x14ac:dyDescent="0.35">
      <c r="C19" s="25">
        <f>SUM(C20:C24)</f>
        <v>-0.37686668065217649</v>
      </c>
      <c r="D19" s="25">
        <f t="shared" ref="D19:M19" si="6">SUM(D20:D24)</f>
        <v>0</v>
      </c>
      <c r="E19" s="25">
        <f t="shared" si="6"/>
        <v>-769.34296013614824</v>
      </c>
      <c r="F19" s="25">
        <f t="shared" si="6"/>
        <v>-2324.7922840447604</v>
      </c>
      <c r="G19" s="25">
        <f t="shared" si="6"/>
        <v>0</v>
      </c>
      <c r="H19" s="25">
        <f t="shared" si="6"/>
        <v>0</v>
      </c>
      <c r="I19" s="25">
        <f t="shared" si="6"/>
        <v>-11.389688123608957</v>
      </c>
      <c r="J19" s="25">
        <f t="shared" si="6"/>
        <v>-36.346115639144472</v>
      </c>
      <c r="K19" s="25">
        <f t="shared" si="6"/>
        <v>-2648.959262847502</v>
      </c>
      <c r="L19" s="25">
        <f t="shared" si="6"/>
        <v>0</v>
      </c>
      <c r="M19" s="25">
        <f t="shared" si="6"/>
        <v>0</v>
      </c>
      <c r="N19" s="23">
        <f>SUM(N20:N24)</f>
        <v>-5791.2071774718179</v>
      </c>
      <c r="O19" s="6" t="s">
        <v>84</v>
      </c>
      <c r="P19" s="64" t="s">
        <v>85</v>
      </c>
      <c r="Q19" s="69" t="s">
        <v>79</v>
      </c>
      <c r="R19" s="69"/>
      <c r="S19" s="24">
        <f t="shared" si="1"/>
        <v>4931.4666890293001</v>
      </c>
      <c r="T19" s="37">
        <v>0.8</v>
      </c>
      <c r="U19" s="61"/>
      <c r="V19" s="25">
        <f>SUM(V20:V24)</f>
        <v>0</v>
      </c>
      <c r="W19" s="25">
        <f t="shared" ref="W19:AH19" si="7">SUM(W20:W24)</f>
        <v>0</v>
      </c>
      <c r="X19" s="25">
        <f t="shared" si="7"/>
        <v>0</v>
      </c>
      <c r="Y19" s="25">
        <f t="shared" si="7"/>
        <v>0</v>
      </c>
      <c r="Z19" s="25">
        <f t="shared" si="7"/>
        <v>0</v>
      </c>
      <c r="AA19" s="25">
        <f t="shared" si="7"/>
        <v>0</v>
      </c>
      <c r="AB19" s="25">
        <f t="shared" si="7"/>
        <v>0</v>
      </c>
      <c r="AC19" s="25">
        <f t="shared" si="7"/>
        <v>0</v>
      </c>
      <c r="AD19" s="25">
        <f t="shared" si="7"/>
        <v>0</v>
      </c>
      <c r="AE19" s="25">
        <f t="shared" si="7"/>
        <v>0</v>
      </c>
      <c r="AF19" s="25">
        <f t="shared" si="7"/>
        <v>4931.4666890293001</v>
      </c>
      <c r="AG19" s="25">
        <f t="shared" si="7"/>
        <v>859.74048844251627</v>
      </c>
      <c r="AH19" s="25">
        <f t="shared" si="7"/>
        <v>191.01902749556058</v>
      </c>
    </row>
    <row r="20" spans="3:34" x14ac:dyDescent="0.35">
      <c r="C20" s="92">
        <f>AF20*' KF Middle East'!H$32/T20*' KF Middle East'!H$139/' KF Middle East'!H$139*-1</f>
        <v>-0.37686668065217649</v>
      </c>
      <c r="D20" s="92"/>
      <c r="E20" s="92">
        <f>AF20*' KF Middle East'!H33/T20*' KF Middle East'!H$140/' KF Middle East'!H$140*-1</f>
        <v>-548.63413887831291</v>
      </c>
      <c r="F20" s="92">
        <f>AF20*' KF Middle East'!H$34/T20*' KF Middle East'!H$140/' KF Middle East'!H$140*-1</f>
        <v>-1720.8988860847217</v>
      </c>
      <c r="G20" s="92"/>
      <c r="H20" s="92"/>
      <c r="I20" s="92">
        <f>AF20*' KF Middle East'!H$35/T20*' KF Middle East'!H$142/' KF Middle East'!H$142*-1</f>
        <v>-8.3748151256039218</v>
      </c>
      <c r="J20" s="92">
        <f>AF20*' KF Middle East'!H$36/T20*' KF Middle East'!H$140/' KF Middle East'!H$140*-1</f>
        <v>-17.922104368792393</v>
      </c>
      <c r="K20" s="92">
        <f>AF20*' KF Middle East'!H$37/T20*' KF Middle East'!H$141/' KF Middle East'!H$141*-1</f>
        <v>-1360.1955986249611</v>
      </c>
      <c r="L20" s="92">
        <f>AF20*' KF Middle East'!H$38/T20*' KF Middle East'!H$142/' KF Middle East'!H$142*-1</f>
        <v>0</v>
      </c>
      <c r="M20" s="92"/>
      <c r="N20" s="23">
        <f>SUM(C20:L20)</f>
        <v>-3656.4024097630445</v>
      </c>
      <c r="O20" s="84" t="s">
        <v>86</v>
      </c>
      <c r="P20" s="85" t="s">
        <v>87</v>
      </c>
      <c r="Q20" s="86" t="s">
        <v>85</v>
      </c>
      <c r="R20" s="86"/>
      <c r="S20" s="24">
        <f t="shared" si="1"/>
        <v>3130.8262306293004</v>
      </c>
      <c r="T20" s="37">
        <f>(' KF Middle East'!H32+' KF Middle East'!H33+' KF Middle East'!H34+' KF Middle East'!H36)*' KF Middle East'!H139+(' KF Middle East'!H35+' KF Middle East'!H38)*' KF Middle East'!H142+' KF Middle East'!H37*' KF Middle East'!H141</f>
        <v>0.85625866077256951</v>
      </c>
      <c r="U20" s="61"/>
      <c r="V20" s="92"/>
      <c r="W20" s="92"/>
      <c r="X20" s="92"/>
      <c r="Y20" s="92"/>
      <c r="Z20" s="92"/>
      <c r="AA20" s="92"/>
      <c r="AB20" s="92"/>
      <c r="AC20" s="92"/>
      <c r="AD20" s="92"/>
      <c r="AE20" s="92"/>
      <c r="AF20" s="92">
        <f>' KF Middle East'!H5*' KF Middle East'!H9*((' KF Middle East'!G32+' KF Middle East'!G33+' KF Middle East'!G34+' KF Middle East'!G36)*' KF Middle East'!G139+(' KF Middle East'!G35+' KF Middle East'!G38)*' KF Middle East'!G142+' KF Middle East'!G37*' KF Middle East'!G141)*-1</f>
        <v>3130.8262306293004</v>
      </c>
      <c r="AG20" s="92">
        <f>(N20+AF20)*-1</f>
        <v>525.57617913374406</v>
      </c>
      <c r="AH20" s="87">
        <f>-(C20*Emissionsfaktorer!$B$2+D20*Emissionsfaktorer!$B$3+E20*Emissionsfaktorer!$B$4+F20*Emissionsfaktorer!$B$5+G20*Emissionsfaktorer!$B$6+H20*Emissionsfaktorer!$B$7+I20*Emissionsfaktorer!$B$8+J20*Emissionsfaktorer!$B$9+K20*Emissionsfaktorer!$B$10+L20*Emissionsfaktorer!$B$11+M20*Emissionsfaktorer!$B$12)</f>
        <v>139.82323339624287</v>
      </c>
    </row>
    <row r="21" spans="3:34" x14ac:dyDescent="0.35">
      <c r="C21" s="92">
        <f>AF21*' KF Middle East'!H$40/T21*' KF Middle East'!H$139/' KF Middle East'!H$139*-1</f>
        <v>0</v>
      </c>
      <c r="D21" s="92"/>
      <c r="E21" s="92">
        <f>AF21*' KF Middle East'!H41/T21*' KF Middle East'!H$140/' KF Middle East'!H$140*-1</f>
        <v>-51.12722125783538</v>
      </c>
      <c r="F21" s="92">
        <f>AF21*' KF Middle East'!H$42/T21*' KF Middle East'!H$140/' KF Middle East'!H$140*-1</f>
        <v>-522.15925396003865</v>
      </c>
      <c r="G21" s="92"/>
      <c r="H21" s="92"/>
      <c r="I21" s="92">
        <f>AF21*' KF Middle East'!H$43/T21*' KF Middle East'!H$142/' KF Middle East'!H$142*-1</f>
        <v>-3.0148729980050351</v>
      </c>
      <c r="J21" s="92">
        <f>AF21*' KF Middle East'!H$44/T21*' KF Middle East'!H$140/' KF Middle East'!H$140*-1</f>
        <v>-11.222027270352074</v>
      </c>
      <c r="K21" s="92">
        <f>AF21*' KF Middle East'!H$45/T21*' KF Middle East'!H$141/' KF Middle East'!H$141*-1</f>
        <v>-923.05361622254122</v>
      </c>
      <c r="L21" s="92">
        <f>AF21*' KF Middle East'!H$46/T21*' KF Middle East'!H$142/' KF Middle East'!H$142*-1</f>
        <v>0</v>
      </c>
      <c r="M21" s="92"/>
      <c r="N21" s="23">
        <f t="shared" ref="N21:N24" si="8">SUM(C21:L21)</f>
        <v>-1510.5769917087723</v>
      </c>
      <c r="O21" s="84" t="s">
        <v>88</v>
      </c>
      <c r="P21" s="85" t="s">
        <v>89</v>
      </c>
      <c r="Q21" s="86" t="s">
        <v>85</v>
      </c>
      <c r="R21" s="86"/>
      <c r="S21" s="24">
        <f t="shared" si="1"/>
        <v>1347.5226104000001</v>
      </c>
      <c r="T21" s="37">
        <f>(' KF Middle East'!H40+' KF Middle East'!H41+' KF Middle East'!H42+' KF Middle East'!H44)*' KF Middle East'!H139+(' KF Middle East'!H43+' KF Middle East'!H46)*' KF Middle East'!H142+' KF Middle East'!H45*' KF Middle East'!H141</f>
        <v>0.8920582120582119</v>
      </c>
      <c r="U21" s="61"/>
      <c r="V21" s="92"/>
      <c r="W21" s="92"/>
      <c r="X21" s="92"/>
      <c r="Y21" s="92"/>
      <c r="Z21" s="92"/>
      <c r="AA21" s="92"/>
      <c r="AB21" s="92"/>
      <c r="AC21" s="92"/>
      <c r="AD21" s="92"/>
      <c r="AE21" s="92"/>
      <c r="AF21" s="92">
        <f>' KF Middle East'!H5*' KF Middle East'!H10*((' KF Middle East'!G40+' KF Middle East'!G41+' KF Middle East'!G42+' KF Middle East'!G44)*' KF Middle East'!G139+(' KF Middle East'!G43+' KF Middle East'!G46)*' KF Middle East'!G142+' KF Middle East'!G45*' KF Middle East'!G141)*-1</f>
        <v>1347.5226104000001</v>
      </c>
      <c r="AG21" s="92">
        <f t="shared" ref="AG21:AG24" si="9">(N21+AF21)*-1</f>
        <v>163.05438130877224</v>
      </c>
      <c r="AH21" s="87">
        <f>-(C21*Emissionsfaktorer!$B$2+D21*Emissionsfaktorer!$B$3+E21*Emissionsfaktorer!$B$4+F21*Emissionsfaktorer!$B$5+G21*Emissionsfaktorer!$B$6+H21*Emissionsfaktorer!$B$7+I21*Emissionsfaktorer!$B$8+J21*Emissionsfaktorer!$B$9+K21*Emissionsfaktorer!$B$10+L21*Emissionsfaktorer!$B$11+M21*Emissionsfaktorer!$B$12)</f>
        <v>33.648746291317693</v>
      </c>
    </row>
    <row r="22" spans="3:34" x14ac:dyDescent="0.35">
      <c r="C22" s="92">
        <f>AF22*' KF Middle East'!H$48/T22*' KF Middle East'!H$139/' KF Middle East'!H$139*-1</f>
        <v>0</v>
      </c>
      <c r="D22" s="92"/>
      <c r="E22" s="92">
        <f>AF22*' KF Middle East'!H49/T22*' KF Middle East'!H$140/' KF Middle East'!H$140*-1</f>
        <v>-122.09875200000002</v>
      </c>
      <c r="F22" s="92">
        <f>AF22*' KF Middle East'!H$50/T22*' KF Middle East'!H$140/' KF Middle East'!H$140*-1</f>
        <v>-80.143007999999995</v>
      </c>
      <c r="G22" s="92"/>
      <c r="H22" s="92"/>
      <c r="I22" s="92">
        <f>AF22*' KF Middle East'!H$51/T22*' KF Middle East'!H$142/' KF Middle East'!H$142*-1</f>
        <v>0</v>
      </c>
      <c r="J22" s="92">
        <f>AF22*' KF Middle East'!H$52/T22*' KF Middle East'!H$140/' KF Middle East'!H$140*-1</f>
        <v>0</v>
      </c>
      <c r="K22" s="92">
        <f>AF22*' KF Middle East'!H$53/T22*' KF Middle East'!H$141/' KF Middle East'!H$141*-1</f>
        <v>-171.34022399999998</v>
      </c>
      <c r="L22" s="92">
        <f>AF22*' KF Middle East'!H$54/T22*' KF Middle East'!H$142/' KF Middle East'!H$142*-1</f>
        <v>0</v>
      </c>
      <c r="M22" s="92"/>
      <c r="N22" s="23">
        <f t="shared" si="8"/>
        <v>-373.58198399999998</v>
      </c>
      <c r="O22" s="84" t="s">
        <v>90</v>
      </c>
      <c r="P22" s="85" t="s">
        <v>91</v>
      </c>
      <c r="Q22" s="86" t="s">
        <v>85</v>
      </c>
      <c r="R22" s="86"/>
      <c r="S22" s="24">
        <f t="shared" si="1"/>
        <v>223.44574079999998</v>
      </c>
      <c r="T22" s="37">
        <f>(' KF Middle East'!H48+' KF Middle East'!H49+' KF Middle East'!H50+' KF Middle East'!H52)*' KF Middle East'!H140+(' KF Middle East'!H51+' KF Middle East'!H54)*' KF Middle East'!H142+' KF Middle East'!H53*' KF Middle East'!H141</f>
        <v>0.59811701412239404</v>
      </c>
      <c r="U22" s="61"/>
      <c r="V22" s="92"/>
      <c r="W22" s="92"/>
      <c r="X22" s="92"/>
      <c r="Y22" s="92"/>
      <c r="Z22" s="92"/>
      <c r="AA22" s="92"/>
      <c r="AB22" s="92"/>
      <c r="AC22" s="92"/>
      <c r="AD22" s="92"/>
      <c r="AE22" s="92"/>
      <c r="AF22" s="92">
        <f>((' KF Middle East'!G48+' KF Middle East'!G49+' KF Middle East'!G50+' KF Middle East'!G52)*' KF Middle East'!G140+(' KF Middle East'!G51+' KF Middle East'!G54)*' KF Middle East'!G142+' KF Middle East'!G53*' KF Middle East'!G141)*' KF Middle East'!H11*' KF Middle East'!H5*-1</f>
        <v>223.44574079999998</v>
      </c>
      <c r="AG22" s="92">
        <f t="shared" si="9"/>
        <v>150.1362432</v>
      </c>
      <c r="AH22" s="87">
        <f>-(C22*Emissionsfaktorer!$B$2+D22*Emissionsfaktorer!$B$3+E22*Emissionsfaktorer!$B$4+F22*Emissionsfaktorer!$B$5+G22*Emissionsfaktorer!$B$6+H22*Emissionsfaktorer!$B$7+I22*Emissionsfaktorer!$B$8+J22*Emissionsfaktorer!$B$9+K22*Emissionsfaktorer!$B$10+L22*Emissionsfaktorer!$B$11+M22*Emissionsfaktorer!$B$12)</f>
        <v>13.847656608000001</v>
      </c>
    </row>
    <row r="23" spans="3:34" x14ac:dyDescent="0.35">
      <c r="C23" s="92">
        <f>AF23*' KF Middle East'!H$56/T23*' KF Middle East'!H$139/' KF Middle East'!H$139*-1</f>
        <v>0</v>
      </c>
      <c r="D23" s="92"/>
      <c r="E23" s="92">
        <f>AF23*' KF Middle East'!H57/T23*' KF Middle East'!H$140/' KF Middle East'!H$140*-1</f>
        <v>0</v>
      </c>
      <c r="F23" s="92">
        <f>AF23*' KF Middle East'!H$58/T23*' KF Middle East'!H$140/' KF Middle East'!H$140*-1</f>
        <v>0</v>
      </c>
      <c r="G23" s="92"/>
      <c r="H23" s="92"/>
      <c r="I23" s="92">
        <f>AF23*' KF Middle East'!H$59/T23*' KF Middle East'!H$142/' KF Middle East'!H$142*-1</f>
        <v>0</v>
      </c>
      <c r="J23" s="92">
        <f>AF23*' KF Middle East'!H$60/T23*' KF Middle East'!H$140/' KF Middle East'!H$140*-1</f>
        <v>0</v>
      </c>
      <c r="K23" s="92">
        <f>AF23*' KF Middle East'!H$61/T23*' KF Middle East'!H$141/' KF Middle East'!H$141*-1</f>
        <v>0</v>
      </c>
      <c r="L23" s="92">
        <f>AF23*' KF Middle East'!H$62/T23*' KF Middle East'!H$142/' KF Middle East'!H$142*-1</f>
        <v>0</v>
      </c>
      <c r="M23" s="92"/>
      <c r="N23" s="23">
        <f t="shared" si="8"/>
        <v>0</v>
      </c>
      <c r="O23" s="84" t="s">
        <v>92</v>
      </c>
      <c r="P23" s="85" t="s">
        <v>93</v>
      </c>
      <c r="Q23" s="86" t="s">
        <v>85</v>
      </c>
      <c r="R23" s="86"/>
      <c r="S23" s="24">
        <f t="shared" si="1"/>
        <v>0</v>
      </c>
      <c r="T23" s="37">
        <f>(' KF Middle East'!H56+' KF Middle East'!H57+' KF Middle East'!H58+' KF Middle East'!H60)*' KF Middle East'!H140+(' KF Middle East'!H59+' KF Middle East'!H62)*' KF Middle East'!H142+' KF Middle East'!H61*' KF Middle East'!H141</f>
        <v>0.95</v>
      </c>
      <c r="U23" s="61"/>
      <c r="V23" s="92"/>
      <c r="W23" s="92"/>
      <c r="X23" s="92"/>
      <c r="Y23" s="92"/>
      <c r="Z23" s="92"/>
      <c r="AA23" s="92"/>
      <c r="AB23" s="92"/>
      <c r="AC23" s="92"/>
      <c r="AD23" s="92"/>
      <c r="AE23" s="92"/>
      <c r="AF23" s="92">
        <f>((' KF Middle East'!G56+' KF Middle East'!G57+' KF Middle East'!G58+' KF Middle East'!G60)*' KF Middle East'!G140+(' KF Middle East'!G59+' KF Middle East'!G62)*' KF Middle East'!G142+' KF Middle East'!G61*' KF Middle East'!G141)*' KF Middle East'!H5*' KF Middle East'!H12*-1</f>
        <v>0</v>
      </c>
      <c r="AG23" s="92">
        <f t="shared" si="9"/>
        <v>0</v>
      </c>
      <c r="AH23" s="87">
        <f>-(C23*Emissionsfaktorer!$B$2+D23*Emissionsfaktorer!$B$3+E23*Emissionsfaktorer!$B$4+F23*Emissionsfaktorer!$B$5+G23*Emissionsfaktorer!$B$6+H23*Emissionsfaktorer!$B$7+I23*Emissionsfaktorer!$B$8+J23*Emissionsfaktorer!$B$9+K23*Emissionsfaktorer!$B$10+L23*Emissionsfaktorer!$B$11+M23*Emissionsfaktorer!$B$12)</f>
        <v>0</v>
      </c>
    </row>
    <row r="24" spans="3:34" x14ac:dyDescent="0.35">
      <c r="C24" s="92">
        <f>AF24*' KF Middle East'!H$64/T24*' KF Middle East'!H$139/' KF Middle East'!H$139*-1</f>
        <v>0</v>
      </c>
      <c r="D24" s="92"/>
      <c r="E24" s="92">
        <f>AF24*' KF Middle East'!H65/T24*' KF Middle East'!H$140/' KF Middle East'!H$140*-1</f>
        <v>-47.482848000000011</v>
      </c>
      <c r="F24" s="92">
        <f>AF24*' KF Middle East'!H$66/T24*' KF Middle East'!H$140/' KF Middle East'!H$140*-1</f>
        <v>-1.5911360000000003</v>
      </c>
      <c r="G24" s="92"/>
      <c r="H24" s="92"/>
      <c r="I24" s="92">
        <f>AF24*' KF Middle East'!H$67/T24*' KF Middle East'!H$142/' KF Middle East'!H$142*-1</f>
        <v>0</v>
      </c>
      <c r="J24" s="92">
        <f>AF24*' KF Middle East'!H$68/T24*' KF Middle East'!H$140/' KF Middle East'!H$140*-1</f>
        <v>-7.2019840000000013</v>
      </c>
      <c r="K24" s="92">
        <f>AF24*' KF Middle East'!H$69/T24*' KF Middle East'!H$141/' KF Middle East'!H$141*-1</f>
        <v>-194.36982399999999</v>
      </c>
      <c r="L24" s="92">
        <f>AF24*' KF Middle East'!H$70/T24*' KF Middle East'!H$142/' KF Middle East'!H$142*-1</f>
        <v>0</v>
      </c>
      <c r="M24" s="92"/>
      <c r="N24" s="23">
        <f t="shared" si="8"/>
        <v>-250.645792</v>
      </c>
      <c r="O24" s="84" t="s">
        <v>94</v>
      </c>
      <c r="P24" s="85" t="s">
        <v>95</v>
      </c>
      <c r="Q24" s="86" t="s">
        <v>85</v>
      </c>
      <c r="R24" s="86"/>
      <c r="S24" s="24">
        <f t="shared" si="1"/>
        <v>229.6721072</v>
      </c>
      <c r="T24" s="37">
        <f>(' KF Middle East'!H64+' KF Middle East'!H65+' KF Middle East'!H66+' KF Middle East'!H68)*' KF Middle East'!H139+(' KF Middle East'!H67+' KF Middle East'!H70)*' KF Middle East'!H142+' KF Middle East'!H69*' KF Middle East'!H141</f>
        <v>0.91632141663882383</v>
      </c>
      <c r="U24" s="61"/>
      <c r="V24" s="92"/>
      <c r="W24" s="92"/>
      <c r="X24" s="92"/>
      <c r="Y24" s="92"/>
      <c r="Z24" s="92"/>
      <c r="AA24" s="92"/>
      <c r="AB24" s="92"/>
      <c r="AC24" s="92"/>
      <c r="AD24" s="92"/>
      <c r="AE24" s="92"/>
      <c r="AF24" s="92">
        <f>((' KF Middle East'!G64+' KF Middle East'!G65+' KF Middle East'!G66+' KF Middle East'!G68)*' KF Middle East'!G139+(' KF Middle East'!G67+' KF Middle East'!G70)*' KF Middle East'!G142+' KF Middle East'!G69*' KF Middle East'!G141)*' KF Middle East'!H5*' KF Middle East'!H13*-1</f>
        <v>229.6721072</v>
      </c>
      <c r="AG24" s="92">
        <f t="shared" si="9"/>
        <v>20.973684800000001</v>
      </c>
      <c r="AH24" s="87">
        <f>-(C24*Emissionsfaktorer!$B$2+D24*Emissionsfaktorer!$B$3+E24*Emissionsfaktorer!$B$4+F24*Emissionsfaktorer!$B$5+G24*Emissionsfaktorer!$B$6+H24*Emissionsfaktorer!$B$7+I24*Emissionsfaktorer!$B$8+J24*Emissionsfaktorer!$B$9+K24*Emissionsfaktorer!$B$10+L24*Emissionsfaktorer!$B$11+M24*Emissionsfaktorer!$B$12)</f>
        <v>3.6993912000000009</v>
      </c>
    </row>
    <row r="25" spans="3:34" x14ac:dyDescent="0.35"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23">
        <f>N16</f>
        <v>-18399.059264</v>
      </c>
      <c r="O25" s="10" t="s">
        <v>11</v>
      </c>
      <c r="P25" s="71" t="s">
        <v>96</v>
      </c>
      <c r="Q25" s="71"/>
      <c r="R25" s="71"/>
      <c r="S25" s="24">
        <f t="shared" si="1"/>
        <v>12176.325523429301</v>
      </c>
      <c r="T25" s="37">
        <f>AF25/N25*-1</f>
        <v>0.66179065726766617</v>
      </c>
      <c r="U25" s="61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>
        <f>AF16</f>
        <v>12176.325523429301</v>
      </c>
      <c r="AG25" s="14">
        <f>-(S25+N25)</f>
        <v>6222.7337405706985</v>
      </c>
      <c r="AH25" s="14"/>
    </row>
    <row r="28" spans="3:34" x14ac:dyDescent="0.35">
      <c r="X28" s="95"/>
    </row>
    <row r="29" spans="3:34" x14ac:dyDescent="0.35">
      <c r="X29" s="95"/>
    </row>
    <row r="30" spans="3:34" x14ac:dyDescent="0.35">
      <c r="X30" s="95"/>
    </row>
    <row r="31" spans="3:34" x14ac:dyDescent="0.35">
      <c r="E31" s="40"/>
    </row>
  </sheetData>
  <pageMargins left="0.7" right="0.7" top="0.75" bottom="0.75" header="0.3" footer="0.3"/>
  <pageSetup paperSize="9" orientation="portrait" horizontalDpi="4294967293" verticalDpi="4294967293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Ark53">
    <tabColor theme="9" tint="-0.249977111117893"/>
  </sheetPr>
  <dimension ref="A1:K142"/>
  <sheetViews>
    <sheetView zoomScale="142" zoomScaleNormal="142" workbookViewId="0">
      <pane ySplit="1" topLeftCell="A2" activePane="bottomLeft" state="frozen"/>
      <selection pane="bottomLeft" activeCell="F5" sqref="F5"/>
    </sheetView>
  </sheetViews>
  <sheetFormatPr defaultRowHeight="14.5" x14ac:dyDescent="0.35"/>
  <cols>
    <col min="1" max="1" width="70" customWidth="1"/>
    <col min="2" max="2" width="9.7265625" customWidth="1"/>
    <col min="10" max="10" width="15.26953125" customWidth="1"/>
    <col min="11" max="11" width="13.7265625" customWidth="1"/>
  </cols>
  <sheetData>
    <row r="1" spans="1:11" ht="19.5" customHeight="1" x14ac:dyDescent="0.35">
      <c r="A1" t="s">
        <v>248</v>
      </c>
      <c r="B1" s="76">
        <f>(('OECD total 1995'!$B12+'OECD total 1995'!$B13+'OECD total 1995'!$B14+'OECD total 1995'!$B20-'OECD total 1995'!$B22+'OECD total 1995'!$B30)*Emissionsfaktorer!$B2*-1+('OECD total 1995'!$D22-'OECD total 1995'!$D30-'OECD total 1995'!$D12-'OECD total 1995'!$D13-'OECD total 1995'!$D14-'OECD total 1995'!$D20)*Emissionsfaktorer!$B4+('OECD total 1995'!$E12+'OECD total 1995'!$E13+'OECD total 1995'!$E14+'OECD total 1995'!$E20-'OECD total 1995'!$E22+'OECD total 1995'!$E30)*Emissionsfaktorer!$B5*-1)*0.041872</f>
        <v>11491.931230352</v>
      </c>
      <c r="C1" s="76">
        <f>(('OECD total 2000'!$B12+'OECD total 2000'!$B13+'OECD total 2000'!$B14+'OECD total 2000'!$B20-'OECD total 2000'!$B22+'OECD total 2000'!$B30)*Emissionsfaktorer!$B2*-1+('OECD total 2000'!$D22-'OECD total 2000'!$D30-'OECD total 2000'!$D12-'OECD total 2000'!$D13-'OECD total 2000'!$D14-'OECD total 2000'!$D20)*Emissionsfaktorer!$B4+('OECD total 2000'!$E12+'OECD total 2000'!$E13+'OECD total 2000'!$E14+'OECD total 2000'!$E20-'OECD total 2000'!$E22+'OECD total 2000'!$E30)*Emissionsfaktorer!$B5*-1)*0.041872</f>
        <v>12544.892527664</v>
      </c>
      <c r="D1" s="76">
        <f>(('OECD total 2005'!$B12+'OECD total 2005'!$B13+'OECD total 2005'!$B14+'OECD total 2005'!$B20-'OECD total 2005'!$B22+'OECD total 2005'!$B30)*Emissionsfaktorer!$B2*-1+('OECD total 2005'!$D22-'OECD total 2005'!$D30-'OECD total 2005'!$D12-'OECD total 2005'!$D13-'OECD total 2005'!$D14-'OECD total 2005'!$D20)*Emissionsfaktorer!$B4+('OECD total 2005'!$E12+'OECD total 2005'!$E13+'OECD total 2005'!$E14+'OECD total 2005'!$E20-'OECD total 2005'!$E22+'OECD total 2005'!$E30)*Emissionsfaktorer!$B5*-1)*0.041872</f>
        <v>12872.534479376</v>
      </c>
      <c r="E1" s="76">
        <f>(('OECD total 2010'!$B12+'OECD total 2010'!$B13+'OECD total 2010'!$B14+'OECD total 2010'!$B20-'OECD total 2010'!$B22+'OECD total 2010'!$B30)*Emissionsfaktorer!$B2*-1+('OECD total 2010'!$D22-'OECD total 2010'!$D30-'OECD total 2010'!$D12-'OECD total 2010'!$D13-'OECD total 2010'!$D14-'OECD total 2010'!$D20)*Emissionsfaktorer!$B4+('OECD total 2010'!$E12+'OECD total 2010'!$E13+'OECD total 2010'!$E14+'OECD total 2010'!$E20-'OECD total 2010'!$E22+'OECD total 2010'!$E30)*Emissionsfaktorer!$B5*-1)*0.041872</f>
        <v>12374.815205055998</v>
      </c>
      <c r="F1" s="76">
        <f>(('OECD total 2015'!$B12+'OECD total 2015'!$B13+'OECD total 2015'!$B14+'OECD total 2015'!$B20-'OECD total 2015'!$B22+'OECD total 2015'!$B30)*Emissionsfaktorer!$B2*-1+('OECD total 2015'!$D22-'OECD total 2015'!$D30-'OECD total 2015'!$D12-'OECD total 2015'!$D13-'OECD total 2015'!$D14-'OECD total 2015'!$D20)*Emissionsfaktorer!$B4+('OECD total 2015'!$E12+'OECD total 2015'!$E13+'OECD total 2015'!$E14+'OECD total 2015'!$E20-'OECD total 2015'!$E22+'OECD total 2015'!$E30)*Emissionsfaktorer!$B5*-1)*0.041872</f>
        <v>11655.721974624001</v>
      </c>
      <c r="G1" s="76">
        <f>(('OECD total 2018'!$B12+'OECD total 2018'!$B13+'OECD total 2018'!$B14+'OECD total 2018'!$B20-'OECD total 2018'!$B22+'OECD total 2018'!$B30)*Emissionsfaktorer!$B2*-1+('OECD total 2018'!$D22-'OECD total 2018'!$D30-'OECD total 2018'!$D12-'OECD total 2018'!$D13-'OECD total 2018'!$D14-'OECD total 2018'!$D20)*Emissionsfaktorer!$B4+('OECD total 2018'!$E12+'OECD total 2018'!$E13+'OECD total 2018'!$E14+'OECD total 2018'!$E20-'OECD total 2018'!$E22+'OECD total 2018'!$E30)*Emissionsfaktorer!$B5*-1)*0.041872</f>
        <v>11612.272823871999</v>
      </c>
      <c r="H1" s="83">
        <f>'BL OECD total 2030'!AH8+'BL OECD total 2030'!AH16</f>
        <v>10463.390479151229</v>
      </c>
      <c r="I1" s="83">
        <f>'BL OECD total 2050'!AH8+'BL OECD total 2050'!AH16</f>
        <v>9862.8700901002412</v>
      </c>
    </row>
    <row r="2" spans="1:11" ht="13.5" customHeight="1" x14ac:dyDescent="0.35">
      <c r="A2" t="s">
        <v>240</v>
      </c>
      <c r="B2" s="76">
        <f>B1+'KF Non-OECD total'!B1</f>
        <v>20512.564124127999</v>
      </c>
      <c r="C2" s="76">
        <f>C1+'KF Non-OECD total'!C1</f>
        <v>22293.937139856003</v>
      </c>
      <c r="D2" s="76">
        <f>D1+'KF Non-OECD total'!D1</f>
        <v>25992.185108639998</v>
      </c>
      <c r="E2" s="76">
        <f>E1+'KF Non-OECD total'!E1</f>
        <v>29123.983888015999</v>
      </c>
      <c r="F2" s="76">
        <f>F1+'KF Non-OECD total'!F1</f>
        <v>30670.027889344001</v>
      </c>
      <c r="G2" s="76">
        <f>G1+'KF Non-OECD total'!G1</f>
        <v>31652.555164912003</v>
      </c>
      <c r="H2" s="101">
        <f>H1+'KF Non-OECD total'!H1</f>
        <v>30367.448065353801</v>
      </c>
      <c r="I2" s="101">
        <f>I1+'KF Non-OECD total'!I1</f>
        <v>29766.927676302814</v>
      </c>
      <c r="J2" t="s">
        <v>129</v>
      </c>
    </row>
    <row r="3" spans="1:11" ht="14.25" customHeight="1" x14ac:dyDescent="0.35">
      <c r="B3" s="117" t="s">
        <v>130</v>
      </c>
      <c r="C3" s="117"/>
      <c r="D3" s="117"/>
      <c r="E3" s="117"/>
      <c r="F3" s="117"/>
      <c r="G3" s="117"/>
      <c r="H3" s="117"/>
      <c r="I3" s="117"/>
    </row>
    <row r="4" spans="1:11" ht="15.75" customHeight="1" x14ac:dyDescent="0.35">
      <c r="B4" s="41">
        <v>1995</v>
      </c>
      <c r="C4" s="114">
        <v>2000</v>
      </c>
      <c r="D4" s="114">
        <v>2005</v>
      </c>
      <c r="E4" s="114">
        <v>2010</v>
      </c>
      <c r="F4" s="114">
        <v>2015</v>
      </c>
      <c r="G4" s="114">
        <v>2018</v>
      </c>
      <c r="H4" s="35">
        <v>2030</v>
      </c>
      <c r="I4" s="35">
        <v>2050</v>
      </c>
    </row>
    <row r="5" spans="1:11" x14ac:dyDescent="0.35">
      <c r="A5" s="30" t="s">
        <v>131</v>
      </c>
      <c r="B5" s="7">
        <f>('OECD total 1995'!$L22-'OECD total 1995'!$L30)*0.041872*-1</f>
        <v>-125626.551744</v>
      </c>
      <c r="C5" s="7">
        <f>('OECD total 2000'!$L22-'OECD total 2000'!$L30)*0.041872*-1</f>
        <v>-137184.64739199998</v>
      </c>
      <c r="D5" s="7">
        <f>('OECD total 2005'!$L22-'OECD total 2005'!$L30)*0.041872*-1</f>
        <v>-141741.200304</v>
      </c>
      <c r="E5" s="7">
        <f>('OECD total 2010'!$L22-'OECD total 2010'!$L30)*0.041872*-1</f>
        <v>-140126.82534400001</v>
      </c>
      <c r="F5" s="7">
        <f>('OECD total 2015'!$L22-'OECD total 2015'!$L30)*0.041872*-1</f>
        <v>-137554.33528</v>
      </c>
      <c r="G5" s="7">
        <f>('OECD total 2018'!$L22-'OECD total 2018'!$L30)*0.041872*-1</f>
        <v>-142733.10611200001</v>
      </c>
      <c r="H5" s="79">
        <v>-150000</v>
      </c>
      <c r="I5" s="79">
        <v>-160000</v>
      </c>
      <c r="K5" s="34"/>
    </row>
    <row r="6" spans="1:11" x14ac:dyDescent="0.35">
      <c r="A6" s="31" t="s">
        <v>132</v>
      </c>
      <c r="B6" s="80"/>
      <c r="C6" s="80"/>
      <c r="D6" s="80"/>
      <c r="E6" s="80"/>
      <c r="F6" s="80"/>
      <c r="G6" s="80"/>
      <c r="H6" s="33"/>
      <c r="I6" s="33"/>
    </row>
    <row r="7" spans="1:11" x14ac:dyDescent="0.35">
      <c r="A7" s="30" t="s">
        <v>133</v>
      </c>
      <c r="B7" s="40">
        <f>('OECD total 1995'!$L23/B$5*0.041872*-1)</f>
        <v>0.27527920987970345</v>
      </c>
      <c r="C7" s="40">
        <f>('OECD total 2000'!$L23/C$5*0.041872*-1)</f>
        <v>0.2804611685304641</v>
      </c>
      <c r="D7" s="40">
        <f>('OECD total 2005'!$L23/D$5*0.041872*-1)</f>
        <v>0.25454320941701397</v>
      </c>
      <c r="E7" s="40">
        <f>('OECD total 2010'!$L23/E$5*0.041872*-1)</f>
        <v>0.24393525037112823</v>
      </c>
      <c r="F7" s="40">
        <f>('OECD total 2015'!$L23/F$5*0.041872*-1)</f>
        <v>0.24413970287189338</v>
      </c>
      <c r="G7" s="40">
        <f>('OECD total 2018'!$L23/G$5*0.041872*-1)</f>
        <v>0.24364907726951096</v>
      </c>
      <c r="H7" s="77">
        <f t="shared" ref="H7:I68" si="0">G7</f>
        <v>0.24364907726951096</v>
      </c>
      <c r="I7" s="77">
        <f>H7</f>
        <v>0.24364907726951096</v>
      </c>
    </row>
    <row r="8" spans="1:11" x14ac:dyDescent="0.35">
      <c r="A8" s="30" t="s">
        <v>134</v>
      </c>
      <c r="B8" s="40">
        <f>'OECD total 1995'!$L24/B$5*0.041872*-1</f>
        <v>0.3465648885493619</v>
      </c>
      <c r="C8" s="40">
        <f>'OECD total 2000'!$L24/C$5*0.041872*-1</f>
        <v>0.35079263531938298</v>
      </c>
      <c r="D8" s="40">
        <f>'OECD total 2005'!$L24/D$5*0.041872*-1</f>
        <v>0.36085565389808949</v>
      </c>
      <c r="E8" s="40">
        <f>'OECD total 2010'!$L24/E$5*0.041872*-1</f>
        <v>0.35802551402159594</v>
      </c>
      <c r="F8" s="40">
        <f>'OECD total 2015'!$L24/F$5*0.041872*-1</f>
        <v>0.37253307722865103</v>
      </c>
      <c r="G8" s="40">
        <f>'OECD total 2018'!$L24/G$5*0.041872*-1</f>
        <v>0.37385516763103455</v>
      </c>
      <c r="H8" s="77">
        <v>0.4</v>
      </c>
      <c r="I8" s="77">
        <v>0.45</v>
      </c>
    </row>
    <row r="9" spans="1:11" x14ac:dyDescent="0.35">
      <c r="A9" s="30" t="s">
        <v>135</v>
      </c>
      <c r="B9" s="40">
        <f>'OECD total 1995'!$L25/B$5*0.041872*-1</f>
        <v>0.22246731274572937</v>
      </c>
      <c r="C9" s="40">
        <f>'OECD total 2000'!$L25/C$5*0.041872*-1</f>
        <v>0.21395171239629265</v>
      </c>
      <c r="D9" s="40">
        <f>'OECD total 2005'!$L25/D$5*0.041872*-1</f>
        <v>0.21732311563563575</v>
      </c>
      <c r="E9" s="40">
        <f>'OECD total 2010'!$L25/E$5*0.041872*-1</f>
        <v>0.22409393309890296</v>
      </c>
      <c r="F9" s="40">
        <f>'OECD total 2015'!$L25/F$5*0.041872*-1</f>
        <v>0.20832877996660695</v>
      </c>
      <c r="G9" s="40">
        <f>'OECD total 2018'!$L25/G$5*0.041872*-1</f>
        <v>0.20631947467668935</v>
      </c>
      <c r="H9" s="89">
        <f>1-H7-H8-H10-H11-H12-H13</f>
        <v>0.19197735505439453</v>
      </c>
      <c r="I9" s="89">
        <f>1-I7-I8-I10-I11-I12-I13</f>
        <v>0.15197735505439455</v>
      </c>
    </row>
    <row r="10" spans="1:11" x14ac:dyDescent="0.35">
      <c r="A10" s="30" t="s">
        <v>136</v>
      </c>
      <c r="B10" s="40">
        <f>'OECD total 1995'!$L26/B$5*0.041872*-1</f>
        <v>0.12812323764803757</v>
      </c>
      <c r="C10" s="40">
        <f>'OECD total 2000'!$L26/C$5*0.041872*-1</f>
        <v>0.12952043869186025</v>
      </c>
      <c r="D10" s="40">
        <f>'OECD total 2005'!$L26/D$5*0.041872*-1</f>
        <v>0.13724086121945334</v>
      </c>
      <c r="E10" s="40">
        <f>'OECD total 2010'!$L26/E$5*0.041872*-1</f>
        <v>0.14510636619422018</v>
      </c>
      <c r="F10" s="40">
        <f>'OECD total 2015'!$L26/F$5*0.041872*-1</f>
        <v>0.14581894393346959</v>
      </c>
      <c r="G10" s="40">
        <f>'OECD total 2018'!$L26/G$5*0.041872*-1</f>
        <v>0.14447153775115903</v>
      </c>
      <c r="H10" s="88">
        <f t="shared" si="0"/>
        <v>0.14447153775115903</v>
      </c>
      <c r="I10" s="88">
        <f t="shared" si="0"/>
        <v>0.14447153775115903</v>
      </c>
    </row>
    <row r="11" spans="1:11" x14ac:dyDescent="0.35">
      <c r="A11" s="30" t="s">
        <v>137</v>
      </c>
      <c r="B11" s="40">
        <f>'OECD total 1995'!$L27/B$5*0.041872*-1</f>
        <v>2.1053564833887289E-2</v>
      </c>
      <c r="C11" s="40">
        <f>'OECD total 2000'!$L27/C$5*0.041872*-1</f>
        <v>1.8760572184479622E-2</v>
      </c>
      <c r="D11" s="40">
        <f>'OECD total 2005'!$L27/D$5*0.041872*-1</f>
        <v>2.0753258316502255E-2</v>
      </c>
      <c r="E11" s="40">
        <f>'OECD total 2010'!$L27/E$5*0.041872*-1</f>
        <v>2.1018349632696574E-2</v>
      </c>
      <c r="F11" s="40">
        <f>'OECD total 2015'!$L27/F$5*0.041872*-1</f>
        <v>2.0690599872454998E-2</v>
      </c>
      <c r="G11" s="40">
        <f>'OECD total 2018'!$L27/G$5*0.041872*-1</f>
        <v>2.1803006105381488E-2</v>
      </c>
      <c r="H11" s="88">
        <v>0.01</v>
      </c>
      <c r="I11" s="88">
        <v>0</v>
      </c>
    </row>
    <row r="12" spans="1:11" x14ac:dyDescent="0.35">
      <c r="A12" s="30" t="s">
        <v>138</v>
      </c>
      <c r="B12" s="40">
        <f>'OECD total 1995'!$L28/B$5*0.041872*-1</f>
        <v>1.3415539761326715E-3</v>
      </c>
      <c r="C12" s="40">
        <f>'OECD total 2000'!$L28/C$5*0.041872*-1</f>
        <v>1.3753378062843111E-3</v>
      </c>
      <c r="D12" s="40">
        <f>'OECD total 2005'!$L28/D$5*0.041872*-1</f>
        <v>1.6634629274643313E-3</v>
      </c>
      <c r="E12" s="40">
        <f>'OECD total 2010'!$L28/E$5*0.041872*-1</f>
        <v>1.5619061051494194E-3</v>
      </c>
      <c r="F12" s="40">
        <f>'OECD total 2015'!$L28/F$5*0.041872*-1</f>
        <v>1.4824442979926122E-3</v>
      </c>
      <c r="G12" s="40">
        <f>'OECD total 2018'!$L28/G$5*0.041872*-1</f>
        <v>1.3764390711559153E-3</v>
      </c>
      <c r="H12" s="88">
        <f t="shared" si="0"/>
        <v>1.3764390711559153E-3</v>
      </c>
      <c r="I12" s="88">
        <f t="shared" si="0"/>
        <v>1.3764390711559153E-3</v>
      </c>
    </row>
    <row r="13" spans="1:11" x14ac:dyDescent="0.35">
      <c r="A13" s="30" t="s">
        <v>139</v>
      </c>
      <c r="B13" s="40">
        <f>'OECD total 1995'!$L29/B$5*0.041872*-1</f>
        <v>5.1695657564764562E-3</v>
      </c>
      <c r="C13" s="40">
        <f>'OECD total 2000'!$L29/C$5*0.041872*-1</f>
        <v>5.1381350712361501E-3</v>
      </c>
      <c r="D13" s="40">
        <f>'OECD total 2005'!$L29/D$5*0.041872*-1</f>
        <v>7.6207339974777751E-3</v>
      </c>
      <c r="E13" s="40">
        <f>'OECD total 2010'!$L29/E$5*0.041872*-1</f>
        <v>6.258381761287438E-3</v>
      </c>
      <c r="F13" s="40">
        <f>'OECD total 2015'!$L29/F$5*0.041872*-1</f>
        <v>7.0064518289314074E-3</v>
      </c>
      <c r="G13" s="40">
        <f>'OECD total 2018'!$L29/G$5*0.041872*-1</f>
        <v>8.5255908537794564E-3</v>
      </c>
      <c r="H13" s="88">
        <f t="shared" si="0"/>
        <v>8.5255908537794564E-3</v>
      </c>
      <c r="I13" s="88">
        <f t="shared" si="0"/>
        <v>8.5255908537794564E-3</v>
      </c>
    </row>
    <row r="14" spans="1:11" x14ac:dyDescent="0.35">
      <c r="A14" s="31" t="s">
        <v>140</v>
      </c>
      <c r="B14" s="81"/>
      <c r="C14" s="81"/>
      <c r="D14" s="81"/>
      <c r="E14" s="81"/>
      <c r="F14" s="81"/>
      <c r="G14" s="81"/>
      <c r="H14" s="42"/>
      <c r="I14" s="42"/>
    </row>
    <row r="15" spans="1:11" x14ac:dyDescent="0.35">
      <c r="A15" s="30" t="s">
        <v>141</v>
      </c>
      <c r="B15" s="40">
        <f>'OECD total 1995'!$B23/'OECD total 1995'!$L23</f>
        <v>0.14306211232015226</v>
      </c>
      <c r="C15" s="40">
        <f>'OECD total 2000'!$B23/'OECD total 2000'!$L23</f>
        <v>0.1237725426093543</v>
      </c>
      <c r="D15" s="40">
        <f>'OECD total 2005'!$B23/'OECD total 2005'!$L23</f>
        <v>0.12213226624082001</v>
      </c>
      <c r="E15" s="40">
        <f>'OECD total 2010'!$B23/'OECD total 2010'!$L23</f>
        <v>0.11812451154050631</v>
      </c>
      <c r="F15" s="40">
        <f>'OECD total 2015'!$B23/'OECD total 2015'!$L23</f>
        <v>0.10812229513470245</v>
      </c>
      <c r="G15" s="40">
        <f>'OECD total 2018'!$B23/'OECD total 2018'!$L23</f>
        <v>9.9164409126482445E-2</v>
      </c>
      <c r="H15" s="77">
        <v>0.02</v>
      </c>
      <c r="I15" s="77">
        <v>0.02</v>
      </c>
    </row>
    <row r="16" spans="1:11" x14ac:dyDescent="0.35">
      <c r="A16" s="30" t="s">
        <v>142</v>
      </c>
      <c r="B16" s="40">
        <f>'OECD total 1995'!$C23/'OECD total 1995'!$L23</f>
        <v>6.5382664149837697E-5</v>
      </c>
      <c r="C16" s="40">
        <f>'OECD total 2000'!$C23/'OECD total 2000'!$L23</f>
        <v>4.0266805677837261E-5</v>
      </c>
      <c r="D16" s="40">
        <f>'OECD total 2005'!$C23/'OECD total 2005'!$L23</f>
        <v>6.3830577399797602E-5</v>
      </c>
      <c r="E16" s="40">
        <f>'OECD total 2010'!$C23/'OECD total 2010'!$L23</f>
        <v>1.3842237689595783E-4</v>
      </c>
      <c r="F16" s="40">
        <f>'OECD total 2015'!$C23/'OECD total 2015'!$L23</f>
        <v>4.9873632683188969E-5</v>
      </c>
      <c r="G16" s="40">
        <f>'OECD total 2018'!$C23/'OECD total 2018'!$L23</f>
        <v>4.5752814400096323E-5</v>
      </c>
      <c r="H16" s="77">
        <f t="shared" si="0"/>
        <v>4.5752814400096323E-5</v>
      </c>
      <c r="I16" s="77">
        <f t="shared" si="0"/>
        <v>4.5752814400096323E-5</v>
      </c>
    </row>
    <row r="17" spans="1:9" x14ac:dyDescent="0.35">
      <c r="A17" s="30" t="s">
        <v>143</v>
      </c>
      <c r="B17" s="40">
        <f>'OECD total 1995'!$D23/'OECD total 1995'!$L23</f>
        <v>0.1910844683481312</v>
      </c>
      <c r="C17" s="40">
        <f>'OECD total 2000'!$D23/'OECD total 2000'!$L23</f>
        <v>0.16184317493968142</v>
      </c>
      <c r="D17" s="40">
        <f>'OECD total 2005'!$D23/'OECD total 2005'!$L23</f>
        <v>0.16641443917294141</v>
      </c>
      <c r="E17" s="40">
        <f>'OECD total 2010'!$D23/'OECD total 2010'!$L23</f>
        <v>0.14112100075703565</v>
      </c>
      <c r="F17" s="40">
        <f>'OECD total 2015'!$D23/'OECD total 2015'!$L23</f>
        <v>0.11618312101712286</v>
      </c>
      <c r="G17" s="40">
        <f>'OECD total 2018'!$D23/'OECD total 2018'!$L23</f>
        <v>0.11204984648726747</v>
      </c>
      <c r="H17" s="77">
        <f t="shared" si="0"/>
        <v>0.11204984648726747</v>
      </c>
      <c r="I17" s="77">
        <f t="shared" si="0"/>
        <v>0.11204984648726747</v>
      </c>
    </row>
    <row r="18" spans="1:9" x14ac:dyDescent="0.35">
      <c r="A18" s="30" t="s">
        <v>241</v>
      </c>
      <c r="B18" s="40">
        <f>'OECD total 1995'!$E23/'OECD total 1995'!$L23</f>
        <v>0.29060293713456842</v>
      </c>
      <c r="C18" s="40">
        <f>'OECD total 2000'!$E23/'OECD total 2000'!$L23</f>
        <v>0.31157692429078726</v>
      </c>
      <c r="D18" s="40">
        <f>'OECD total 2005'!$E23/'OECD total 2005'!$L23</f>
        <v>0.28717840994550031</v>
      </c>
      <c r="E18" s="40">
        <f>'OECD total 2010'!$E23/'OECD total 2010'!$L23</f>
        <v>0.30636791932792873</v>
      </c>
      <c r="F18" s="40">
        <f>'OECD total 2015'!$E23/'OECD total 2015'!$L23</f>
        <v>0.32697901691588938</v>
      </c>
      <c r="G18" s="40">
        <f>'OECD total 2018'!$E23/'OECD total 2018'!$L23</f>
        <v>0.3402540485220637</v>
      </c>
      <c r="H18" s="77">
        <f t="shared" si="0"/>
        <v>0.3402540485220637</v>
      </c>
      <c r="I18" s="77">
        <f t="shared" si="0"/>
        <v>0.3402540485220637</v>
      </c>
    </row>
    <row r="19" spans="1:9" x14ac:dyDescent="0.35">
      <c r="A19" s="30" t="s">
        <v>145</v>
      </c>
      <c r="B19" s="40">
        <f>'OECD total 1995'!$H23/'OECD total 1995'!$L23</f>
        <v>2.0583431306430385E-4</v>
      </c>
      <c r="C19" s="40">
        <f>'OECD total 2000'!$H23/'OECD total 2000'!$L23</f>
        <v>3.8090221587143354E-4</v>
      </c>
      <c r="D19" s="40">
        <f>'OECD total 2005'!$H23/'OECD total 2005'!$L23</f>
        <v>4.4681404179858317E-4</v>
      </c>
      <c r="E19" s="40">
        <f>'OECD total 2010'!$H23/'OECD total 2010'!$L23</f>
        <v>3.6626805922027777E-4</v>
      </c>
      <c r="F19" s="40">
        <f>'OECD total 2015'!$H23/'OECD total 2015'!$L23</f>
        <v>5.598315268687962E-4</v>
      </c>
      <c r="G19" s="40">
        <f>'OECD total 2018'!$H23/'OECD total 2018'!$L23</f>
        <v>5.7070615856962253E-4</v>
      </c>
      <c r="H19" s="77">
        <f t="shared" si="0"/>
        <v>5.7070615856962253E-4</v>
      </c>
      <c r="I19" s="77">
        <f t="shared" si="0"/>
        <v>5.7070615856962253E-4</v>
      </c>
    </row>
    <row r="20" spans="1:9" x14ac:dyDescent="0.35">
      <c r="A20" s="30" t="s">
        <v>146</v>
      </c>
      <c r="B20" s="40">
        <f>'OECD total 1995'!$I23/'OECD total 1995'!$L23</f>
        <v>5.1625667296681103E-2</v>
      </c>
      <c r="C20" s="40">
        <f>'OECD total 2000'!$I23/'OECD total 2000'!$L23</f>
        <v>7.6570051726520913E-2</v>
      </c>
      <c r="D20" s="40">
        <f>'OECD total 2005'!$I23/'OECD total 2005'!$L23</f>
        <v>8.1479151772865271E-2</v>
      </c>
      <c r="E20" s="40">
        <f>'OECD total 2010'!$I23/'OECD total 2010'!$L23</f>
        <v>8.3838636257842908E-2</v>
      </c>
      <c r="F20" s="40">
        <f>'OECD total 2015'!$I23/'OECD total 2015'!$L23</f>
        <v>9.2944501868390969E-2</v>
      </c>
      <c r="G20" s="40">
        <f>'OECD total 2018'!$I23/'OECD total 2018'!$L23</f>
        <v>9.8255372945638436E-2</v>
      </c>
      <c r="H20" s="77">
        <f t="shared" si="0"/>
        <v>9.8255372945638436E-2</v>
      </c>
      <c r="I20" s="77">
        <f t="shared" si="0"/>
        <v>9.8255372945638436E-2</v>
      </c>
    </row>
    <row r="21" spans="1:9" x14ac:dyDescent="0.35">
      <c r="A21" s="30" t="s">
        <v>147</v>
      </c>
      <c r="B21" s="40">
        <f>'OECD total 1995'!$J23/'OECD total 1995'!$L23</f>
        <v>0.30448101299540992</v>
      </c>
      <c r="C21" s="40">
        <f>'OECD total 2000'!$J23/'OECD total 2000'!$L23</f>
        <v>0.30623341034813373</v>
      </c>
      <c r="D21" s="40">
        <f>'OECD total 2005'!$J23/'OECD total 2005'!$L23</f>
        <v>0.31621087765883371</v>
      </c>
      <c r="E21" s="40">
        <f>'OECD total 2010'!$J23/'OECD total 2010'!$L23</f>
        <v>0.31913952730595757</v>
      </c>
      <c r="F21" s="40">
        <f>'OECD total 2015'!$J23/'OECD total 2015'!$L23</f>
        <v>0.32542919378025925</v>
      </c>
      <c r="G21" s="40">
        <f>'OECD total 2018'!$J23/'OECD total 2018'!$L23</f>
        <v>0.31931129974113537</v>
      </c>
      <c r="H21" s="89">
        <f>1-H15-H16-H17-H18-H19-H20-H22</f>
        <v>0.39847570886761791</v>
      </c>
      <c r="I21" s="89">
        <f>1-I15-I16-I17-I18-I19-I20-I22</f>
        <v>0.39847570886761791</v>
      </c>
    </row>
    <row r="22" spans="1:9" x14ac:dyDescent="0.35">
      <c r="A22" s="30" t="s">
        <v>148</v>
      </c>
      <c r="B22" s="40">
        <f>'OECD total 1995'!$K23/'OECD total 1995'!$L23</f>
        <v>1.8871374137766118E-2</v>
      </c>
      <c r="C22" s="40">
        <f>'OECD total 2000'!$K23/'OECD total 2000'!$L23</f>
        <v>1.9582727063973071E-2</v>
      </c>
      <c r="D22" s="40">
        <f>'OECD total 2005'!$K23/'OECD total 2005'!$L23</f>
        <v>2.6074210589840958E-2</v>
      </c>
      <c r="E22" s="40">
        <f>'OECD total 2010'!$K23/'OECD total 2010'!$L23</f>
        <v>3.0902489397825913E-2</v>
      </c>
      <c r="F22" s="40">
        <f>'OECD total 2015'!$K23/'OECD total 2015'!$L23</f>
        <v>2.9732166124083106E-2</v>
      </c>
      <c r="G22" s="40">
        <f>'OECD total 2018'!$K23/'OECD total 2018'!$L23</f>
        <v>3.0348564204442839E-2</v>
      </c>
      <c r="H22" s="77">
        <f t="shared" si="0"/>
        <v>3.0348564204442839E-2</v>
      </c>
      <c r="I22" s="77">
        <f t="shared" si="0"/>
        <v>3.0348564204442839E-2</v>
      </c>
    </row>
    <row r="23" spans="1:9" x14ac:dyDescent="0.35">
      <c r="A23" s="31" t="s">
        <v>149</v>
      </c>
      <c r="B23" s="81"/>
      <c r="C23" s="81"/>
      <c r="D23" s="81"/>
      <c r="E23" s="81"/>
      <c r="F23" s="81"/>
      <c r="G23" s="81"/>
      <c r="H23" s="42"/>
      <c r="I23" s="42"/>
    </row>
    <row r="24" spans="1:9" x14ac:dyDescent="0.35">
      <c r="A24" s="30" t="s">
        <v>141</v>
      </c>
      <c r="B24" s="40">
        <f>'OECD total 1995'!$B24/'OECD total 1995'!$L24</f>
        <v>1.000209659332437E-4</v>
      </c>
      <c r="C24" s="40">
        <f>'OECD total 2000'!$B24/'OECD total 2000'!$L24</f>
        <v>8.7879808265400495E-5</v>
      </c>
      <c r="D24" s="40">
        <f>'OECD total 2005'!$B24/'OECD total 2005'!$L24</f>
        <v>1.5717928671712231E-4</v>
      </c>
      <c r="E24" s="40">
        <f>'OECD total 2010'!$B24/'OECD total 2010'!$L24</f>
        <v>9.0973508347445354E-5</v>
      </c>
      <c r="F24" s="40">
        <f>'OECD total 2015'!$B24/'OECD total 2015'!$L24</f>
        <v>9.8054116066657181E-6</v>
      </c>
      <c r="G24" s="40">
        <f>'OECD total 2018'!$B24/'OECD total 2018'!$L24</f>
        <v>1.0200910862871509E-5</v>
      </c>
      <c r="H24" s="77">
        <f t="shared" si="0"/>
        <v>1.0200910862871509E-5</v>
      </c>
      <c r="I24" s="77">
        <f t="shared" si="0"/>
        <v>1.0200910862871509E-5</v>
      </c>
    </row>
    <row r="25" spans="1:9" x14ac:dyDescent="0.35">
      <c r="A25" s="30" t="s">
        <v>143</v>
      </c>
      <c r="B25" s="40">
        <f>'OECD total 1995'!$D24/'OECD total 1995'!$L24</f>
        <v>0.96772688890555902</v>
      </c>
      <c r="C25" s="40">
        <f>'OECD total 2000'!$D24/'OECD total 2000'!$L24</f>
        <v>0.97029836500051769</v>
      </c>
      <c r="D25" s="40">
        <f>'OECD total 2005'!$D24/'OECD total 2005'!$L24</f>
        <v>0.9652658335618709</v>
      </c>
      <c r="E25" s="40">
        <f>'OECD total 2010'!$D24/'OECD total 2010'!$L24</f>
        <v>0.94158165373145786</v>
      </c>
      <c r="F25" s="40">
        <f>'OECD total 2015'!$D24/'OECD total 2015'!$L24</f>
        <v>0.92974831142640957</v>
      </c>
      <c r="G25" s="40">
        <f>'OECD total 2018'!$D24/'OECD total 2018'!$L24</f>
        <v>0.92258685683257013</v>
      </c>
      <c r="H25" s="89">
        <f>1-H24-H26-H27-H28-H29-H30</f>
        <v>0.73045803659145192</v>
      </c>
      <c r="I25" s="89">
        <f>1-I24-I26-I27-I28-I29-I30</f>
        <v>0.63045803659145183</v>
      </c>
    </row>
    <row r="26" spans="1:9" x14ac:dyDescent="0.35">
      <c r="A26" s="30" t="s">
        <v>241</v>
      </c>
      <c r="B26" s="40">
        <f>'OECD total 1995'!$E24/'OECD total 1995'!$L24</f>
        <v>2.1257340480985439E-2</v>
      </c>
      <c r="C26" s="40">
        <f>'OECD total 2000'!$E24/'OECD total 2000'!$L24</f>
        <v>1.8267688856753301E-2</v>
      </c>
      <c r="D26" s="40">
        <f>'OECD total 2005'!$E24/'OECD total 2005'!$L24</f>
        <v>1.7918438685751943E-2</v>
      </c>
      <c r="E26" s="40">
        <f>'OECD total 2010'!$E24/'OECD total 2010'!$L24</f>
        <v>1.9185394829199325E-2</v>
      </c>
      <c r="F26" s="40">
        <f>'OECD total 2015'!$E24/'OECD total 2015'!$L24</f>
        <v>2.0455722846772467E-2</v>
      </c>
      <c r="G26" s="40">
        <f>'OECD total 2018'!$E24/'OECD total 2018'!$L24</f>
        <v>2.4171450632299536E-2</v>
      </c>
      <c r="H26" s="90">
        <f t="shared" si="0"/>
        <v>2.4171450632299536E-2</v>
      </c>
      <c r="I26" s="90">
        <f t="shared" si="0"/>
        <v>2.4171450632299536E-2</v>
      </c>
    </row>
    <row r="27" spans="1:9" x14ac:dyDescent="0.35">
      <c r="A27" s="30" t="s">
        <v>145</v>
      </c>
      <c r="B27" s="40">
        <f>'OECD total 1995'!$H24/'OECD total 1995'!$L24</f>
        <v>0</v>
      </c>
      <c r="C27" s="40">
        <f>'OECD total 2000'!$H24/'OECD total 2000'!$L24</f>
        <v>0</v>
      </c>
      <c r="D27" s="40">
        <f>'OECD total 2005'!$H24/'OECD total 2005'!$L24</f>
        <v>0</v>
      </c>
      <c r="E27" s="40">
        <f>'OECD total 2010'!$H24/'OECD total 2010'!$L24</f>
        <v>0</v>
      </c>
      <c r="F27" s="40">
        <f>'OECD total 2015'!$H24/'OECD total 2015'!$L24</f>
        <v>0</v>
      </c>
      <c r="G27" s="40">
        <f>'OECD total 2018'!$H24/'OECD total 2018'!$L24</f>
        <v>0</v>
      </c>
      <c r="H27" s="77">
        <f t="shared" si="0"/>
        <v>0</v>
      </c>
      <c r="I27" s="77">
        <f t="shared" si="0"/>
        <v>0</v>
      </c>
    </row>
    <row r="28" spans="1:9" x14ac:dyDescent="0.35">
      <c r="A28" s="30" t="s">
        <v>146</v>
      </c>
      <c r="B28" s="40">
        <f>'OECD total 1995'!$I24/'OECD total 1995'!$L24</f>
        <v>2.7563470035065043E-3</v>
      </c>
      <c r="C28" s="40">
        <f>'OECD total 2000'!$I24/'OECD total 2000'!$L24</f>
        <v>3.5091016508352496E-3</v>
      </c>
      <c r="D28" s="40">
        <f>'OECD total 2005'!$I24/'OECD total 2005'!$L24</f>
        <v>9.4135657185426529E-3</v>
      </c>
      <c r="E28" s="40">
        <f>'OECD total 2010'!$I24/'OECD total 2010'!$L24</f>
        <v>3.2022674938300764E-2</v>
      </c>
      <c r="F28" s="40">
        <f>'OECD total 2015'!$I24/'OECD total 2015'!$L24</f>
        <v>4.221311408432981E-2</v>
      </c>
      <c r="G28" s="40">
        <f>'OECD total 2018'!$I24/'OECD total 2018'!$L24</f>
        <v>4.5360311865385639E-2</v>
      </c>
      <c r="H28" s="77">
        <f t="shared" si="0"/>
        <v>4.5360311865385639E-2</v>
      </c>
      <c r="I28" s="77">
        <f t="shared" si="0"/>
        <v>4.5360311865385639E-2</v>
      </c>
    </row>
    <row r="29" spans="1:9" x14ac:dyDescent="0.35">
      <c r="A29" s="30" t="s">
        <v>147</v>
      </c>
      <c r="B29" s="40">
        <f>'OECD total 1995'!$J24/'OECD total 1995'!$L24</f>
        <v>8.1594026440157657E-3</v>
      </c>
      <c r="C29" s="40">
        <f>'OECD total 2000'!$J24/'OECD total 2000'!$L24</f>
        <v>7.8360945865168005E-3</v>
      </c>
      <c r="D29" s="40">
        <f>'OECD total 2005'!$J24/'OECD total 2005'!$L24</f>
        <v>7.2441641049990381E-3</v>
      </c>
      <c r="E29" s="40">
        <f>'OECD total 2010'!$J24/'OECD total 2010'!$L24</f>
        <v>7.0925951737301892E-3</v>
      </c>
      <c r="F29" s="40">
        <f>'OECD total 2015'!$J24/'OECD total 2015'!$L24</f>
        <v>7.5730462308814901E-3</v>
      </c>
      <c r="G29" s="40">
        <f>'OECD total 2018'!$J24/'OECD total 2018'!$L24</f>
        <v>7.8711797588818539E-3</v>
      </c>
      <c r="H29" s="77">
        <v>0.2</v>
      </c>
      <c r="I29" s="77">
        <v>0.3</v>
      </c>
    </row>
    <row r="30" spans="1:9" x14ac:dyDescent="0.35">
      <c r="A30" s="30" t="s">
        <v>148</v>
      </c>
      <c r="B30" s="40">
        <f>'OECD total 1995'!$K24/'OECD total 1995'!$L24</f>
        <v>0</v>
      </c>
      <c r="C30" s="40">
        <f>'OECD total 2000'!$K24/'OECD total 2000'!$L24</f>
        <v>0</v>
      </c>
      <c r="D30" s="40">
        <f>'OECD total 2005'!$K24/'OECD total 2005'!$L24</f>
        <v>0</v>
      </c>
      <c r="E30" s="40">
        <f>'OECD total 2010'!$K24/'OECD total 2010'!$L24</f>
        <v>0</v>
      </c>
      <c r="F30" s="40">
        <f>'OECD total 2015'!$K24/'OECD total 2015'!$L24</f>
        <v>0</v>
      </c>
      <c r="G30" s="40">
        <f>'OECD total 2018'!$K24/'OECD total 2018'!$L24</f>
        <v>0</v>
      </c>
      <c r="H30" s="77">
        <f t="shared" si="0"/>
        <v>0</v>
      </c>
      <c r="I30" s="77">
        <f t="shared" si="0"/>
        <v>0</v>
      </c>
    </row>
    <row r="31" spans="1:9" x14ac:dyDescent="0.35">
      <c r="A31" s="31" t="s">
        <v>150</v>
      </c>
      <c r="B31" s="81"/>
      <c r="C31" s="81"/>
      <c r="D31" s="81"/>
      <c r="E31" s="81"/>
      <c r="F31" s="81"/>
      <c r="G31" s="81"/>
      <c r="H31" s="42"/>
      <c r="I31" s="42"/>
    </row>
    <row r="32" spans="1:9" x14ac:dyDescent="0.35">
      <c r="A32" s="30" t="s">
        <v>141</v>
      </c>
      <c r="B32" s="40">
        <f>'OECD total 1995'!$B$25/'OECD total 1995'!$L$25</f>
        <v>3.6481696226579048E-2</v>
      </c>
      <c r="C32" s="40">
        <f>'OECD total 2000'!$B$25/'OECD total 2000'!$L$25</f>
        <v>1.9220590983598372E-2</v>
      </c>
      <c r="D32" s="40">
        <f>'OECD total 2005'!$B$25/'OECD total 2005'!$L$25</f>
        <v>1.7584162291922105E-2</v>
      </c>
      <c r="E32" s="40">
        <f>'OECD total 2010'!$B$25/'OECD total 2010'!$L$25</f>
        <v>2.1671009224713378E-2</v>
      </c>
      <c r="F32" s="40">
        <f>'OECD total 2015'!$B$25/'OECD total 2015'!$L$25</f>
        <v>1.7047447047271708E-2</v>
      </c>
      <c r="G32" s="40">
        <f>'OECD total 2018'!$B$25/'OECD total 2018'!$L$25</f>
        <v>1.5883668585712236E-2</v>
      </c>
      <c r="H32" s="77">
        <f t="shared" si="0"/>
        <v>1.5883668585712236E-2</v>
      </c>
      <c r="I32" s="77">
        <f t="shared" si="0"/>
        <v>1.5883668585712236E-2</v>
      </c>
    </row>
    <row r="33" spans="1:9" x14ac:dyDescent="0.35">
      <c r="A33" s="30" t="s">
        <v>143</v>
      </c>
      <c r="B33" s="40">
        <f>'OECD total 1995'!$D$25/'OECD total 1995'!$L$25</f>
        <v>0.19230273665159456</v>
      </c>
      <c r="C33" s="40">
        <f>'OECD total 2000'!$D$25/'OECD total 2000'!$L$25</f>
        <v>0.18423121202567311</v>
      </c>
      <c r="D33" s="40">
        <f>'OECD total 2005'!$D$25/'OECD total 2005'!$L$25</f>
        <v>0.16337122211015384</v>
      </c>
      <c r="E33" s="40">
        <f>'OECD total 2010'!$D$25/'OECD total 2010'!$L$25</f>
        <v>0.13013939744673589</v>
      </c>
      <c r="F33" s="40">
        <f>'OECD total 2015'!$D$25/'OECD total 2015'!$L$25</f>
        <v>0.11111452050310937</v>
      </c>
      <c r="G33" s="40">
        <f>'OECD total 2018'!$D$25/'OECD total 2018'!$L$25</f>
        <v>0.10041362091053475</v>
      </c>
      <c r="H33" s="77">
        <f t="shared" si="0"/>
        <v>0.10041362091053475</v>
      </c>
      <c r="I33" s="77">
        <f t="shared" si="0"/>
        <v>0.10041362091053475</v>
      </c>
    </row>
    <row r="34" spans="1:9" x14ac:dyDescent="0.35">
      <c r="A34" s="30" t="s">
        <v>241</v>
      </c>
      <c r="B34" s="40">
        <f>'OECD total 1995'!$E$25/'OECD total 1995'!$L$25</f>
        <v>0.35336006160687267</v>
      </c>
      <c r="C34" s="40">
        <f>'OECD total 2000'!$E$25/'OECD total 2000'!$L$25</f>
        <v>0.36852091467929304</v>
      </c>
      <c r="D34" s="40">
        <f>'OECD total 2005'!$E$25/'OECD total 2005'!$L$25</f>
        <v>0.36692122197422183</v>
      </c>
      <c r="E34" s="40">
        <f>'OECD total 2010'!$E$25/'OECD total 2010'!$L$25</f>
        <v>0.36289473052582732</v>
      </c>
      <c r="F34" s="40">
        <f>'OECD total 2015'!$E$25/'OECD total 2015'!$L$25</f>
        <v>0.36677362416421189</v>
      </c>
      <c r="G34" s="40">
        <f>'OECD total 2018'!$E$25/'OECD total 2018'!$L$25</f>
        <v>0.38069617418431084</v>
      </c>
      <c r="H34" s="77">
        <f t="shared" si="0"/>
        <v>0.38069617418431084</v>
      </c>
      <c r="I34" s="77">
        <f t="shared" si="0"/>
        <v>0.38069617418431084</v>
      </c>
    </row>
    <row r="35" spans="1:9" x14ac:dyDescent="0.35">
      <c r="A35" s="30" t="s">
        <v>145</v>
      </c>
      <c r="B35" s="40">
        <f>'OECD total 1995'!$H$25/'OECD total 1995'!$L$25</f>
        <v>3.6721411684330699E-3</v>
      </c>
      <c r="C35" s="40">
        <f>'OECD total 2000'!$H$25/'OECD total 2000'!$L$25</f>
        <v>6.4239828693790149E-3</v>
      </c>
      <c r="D35" s="40">
        <f>'OECD total 2005'!$H$25/'OECD total 2005'!$L$25</f>
        <v>6.7204776106418434E-3</v>
      </c>
      <c r="E35" s="40">
        <f>'OECD total 2010'!$H$25/'OECD total 2010'!$L$25</f>
        <v>7.0725469436303074E-3</v>
      </c>
      <c r="F35" s="40">
        <f>'OECD total 2015'!$H$25/'OECD total 2015'!$L$25</f>
        <v>7.9940501239070469E-3</v>
      </c>
      <c r="G35" s="40">
        <f>'OECD total 2018'!$H$25/'OECD total 2018'!$L$25</f>
        <v>1.0038376171795576E-2</v>
      </c>
      <c r="H35" s="77">
        <f t="shared" si="0"/>
        <v>1.0038376171795576E-2</v>
      </c>
      <c r="I35" s="77">
        <f t="shared" si="0"/>
        <v>1.0038376171795576E-2</v>
      </c>
    </row>
    <row r="36" spans="1:9" x14ac:dyDescent="0.35">
      <c r="A36" s="30" t="s">
        <v>146</v>
      </c>
      <c r="B36" s="40">
        <f>'OECD total 1995'!$I$25/'OECD total 1995'!$L$25</f>
        <v>9.2276967239886251E-2</v>
      </c>
      <c r="C36" s="40">
        <f>'OECD total 2000'!$I$25/'OECD total 2000'!$L$25</f>
        <v>8.4266449062509366E-2</v>
      </c>
      <c r="D36" s="40">
        <f>'OECD total 2005'!$I$25/'OECD total 2005'!$L$25</f>
        <v>8.4720972403087291E-2</v>
      </c>
      <c r="E36" s="40">
        <f>'OECD total 2010'!$I$25/'OECD total 2010'!$L$25</f>
        <v>9.7151513050342558E-2</v>
      </c>
      <c r="F36" s="40">
        <f>'OECD total 2015'!$I$25/'OECD total 2015'!$L$25</f>
        <v>9.5880382942909251E-2</v>
      </c>
      <c r="G36" s="40">
        <f>'OECD total 2018'!$I$25/'OECD total 2018'!$L$25</f>
        <v>9.0574306022599138E-2</v>
      </c>
      <c r="H36" s="77">
        <f t="shared" si="0"/>
        <v>9.0574306022599138E-2</v>
      </c>
      <c r="I36" s="77">
        <f t="shared" si="0"/>
        <v>9.0574306022599138E-2</v>
      </c>
    </row>
    <row r="37" spans="1:9" x14ac:dyDescent="0.35">
      <c r="A37" s="30" t="s">
        <v>147</v>
      </c>
      <c r="B37" s="40">
        <f>'OECD total 1995'!$J$25/'OECD total 1995'!$L$25</f>
        <v>0.28636408583011963</v>
      </c>
      <c r="C37" s="40">
        <f>'OECD total 2000'!$J$25/'OECD total 2000'!$L$25</f>
        <v>0.30659217908974318</v>
      </c>
      <c r="D37" s="40">
        <f>'OECD total 2005'!$J$25/'OECD total 2005'!$L$25</f>
        <v>0.33053358743553424</v>
      </c>
      <c r="E37" s="40">
        <f>'OECD total 2010'!$J$25/'OECD total 2010'!$L$25</f>
        <v>0.34773489149827586</v>
      </c>
      <c r="F37" s="40">
        <f>'OECD total 2015'!$J$25/'OECD total 2015'!$L$25</f>
        <v>0.36863076869126105</v>
      </c>
      <c r="G37" s="40">
        <f>'OECD total 2018'!$J$25/'OECD total 2018'!$L$25</f>
        <v>0.36956153908497213</v>
      </c>
      <c r="H37" s="89">
        <f>1-H38-H36-H35-H34-H33-H32</f>
        <v>0.36956153908497208</v>
      </c>
      <c r="I37" s="89">
        <f>1-I38-I36-I35-I34-I33-I32</f>
        <v>0.36956153908497208</v>
      </c>
    </row>
    <row r="38" spans="1:9" x14ac:dyDescent="0.35">
      <c r="A38" s="30" t="s">
        <v>148</v>
      </c>
      <c r="B38" s="40">
        <f>'OECD total 1995'!$K$25/'OECD total 1995'!$L$25</f>
        <v>3.5540813054903829E-2</v>
      </c>
      <c r="C38" s="40">
        <f>'OECD total 2000'!$K$25/'OECD total 2000'!$L$25</f>
        <v>3.0744671289803942E-2</v>
      </c>
      <c r="D38" s="40">
        <f>'OECD total 2005'!$K$25/'OECD total 2005'!$L$25</f>
        <v>3.0149715494343868E-2</v>
      </c>
      <c r="E38" s="40">
        <f>'OECD total 2010'!$K$25/'OECD total 2010'!$L$25</f>
        <v>3.2597187515834555E-2</v>
      </c>
      <c r="F38" s="40">
        <f>'OECD total 2015'!$K$25/'OECD total 2015'!$L$25</f>
        <v>3.2559206527329687E-2</v>
      </c>
      <c r="G38" s="40">
        <f>'OECD total 2018'!$K$25/'OECD total 2018'!$L$25</f>
        <v>3.2832315040075305E-2</v>
      </c>
      <c r="H38" s="88">
        <f t="shared" si="0"/>
        <v>3.2832315040075305E-2</v>
      </c>
      <c r="I38" s="88">
        <f t="shared" si="0"/>
        <v>3.2832315040075305E-2</v>
      </c>
    </row>
    <row r="39" spans="1:9" x14ac:dyDescent="0.35">
      <c r="A39" s="31" t="s">
        <v>151</v>
      </c>
      <c r="B39" s="81"/>
      <c r="C39" s="81"/>
      <c r="D39" s="81"/>
      <c r="E39" s="81"/>
      <c r="F39" s="81"/>
      <c r="G39" s="81"/>
      <c r="H39" s="42"/>
      <c r="I39" s="42"/>
    </row>
    <row r="40" spans="1:9" x14ac:dyDescent="0.35">
      <c r="A40" s="30" t="s">
        <v>141</v>
      </c>
      <c r="B40" s="40">
        <f>'OECD total 1995'!$B$26/'OECD total 1995'!$L$26</f>
        <v>1.5161211440106971E-2</v>
      </c>
      <c r="C40" s="40">
        <f>'OECD total 2000'!$B$26/'OECD total 2000'!$L$26</f>
        <v>6.9730832858092215E-3</v>
      </c>
      <c r="D40" s="40">
        <f>'OECD total 2005'!$B$26/'OECD total 2005'!$L$26</f>
        <v>7.8415756336436531E-3</v>
      </c>
      <c r="E40" s="40">
        <f>'OECD total 2010'!$B$26/'OECD total 2010'!$L$26</f>
        <v>1.5380781950799619E-2</v>
      </c>
      <c r="F40" s="40">
        <f>'OECD total 2015'!$B$26/'OECD total 2015'!$L$26</f>
        <v>1.2070174852619448E-2</v>
      </c>
      <c r="G40" s="40">
        <f>'OECD total 2018'!$B$26/'OECD total 2018'!$L$26</f>
        <v>7.0826074066854287E-3</v>
      </c>
      <c r="H40" s="77">
        <f t="shared" si="0"/>
        <v>7.0826074066854287E-3</v>
      </c>
      <c r="I40" s="77">
        <f t="shared" si="0"/>
        <v>7.0826074066854287E-3</v>
      </c>
    </row>
    <row r="41" spans="1:9" x14ac:dyDescent="0.35">
      <c r="A41" s="30" t="s">
        <v>143</v>
      </c>
      <c r="B41" s="40">
        <f>'OECD total 1995'!$D$26/'OECD total 1995'!$L$26</f>
        <v>0.21148693295040089</v>
      </c>
      <c r="C41" s="40">
        <f>'OECD total 2000'!$D$26/'OECD total 2000'!$L$26</f>
        <v>0.1785453380024791</v>
      </c>
      <c r="D41" s="40">
        <f>'OECD total 2005'!$D$26/'OECD total 2005'!$L$26</f>
        <v>0.15769466716891783</v>
      </c>
      <c r="E41" s="40">
        <f>'OECD total 2010'!$D$26/'OECD total 2010'!$L$26</f>
        <v>0.1138186101489685</v>
      </c>
      <c r="F41" s="40">
        <f>'OECD total 2015'!$D$26/'OECD total 2015'!$L$26</f>
        <v>9.9091501194074713E-2</v>
      </c>
      <c r="G41" s="40">
        <f>'OECD total 2018'!$D$26/'OECD total 2018'!$L$26</f>
        <v>8.6355827921880138E-2</v>
      </c>
      <c r="H41" s="77">
        <f t="shared" si="0"/>
        <v>8.6355827921880138E-2</v>
      </c>
      <c r="I41" s="77">
        <f t="shared" si="0"/>
        <v>8.6355827921880138E-2</v>
      </c>
    </row>
    <row r="42" spans="1:9" x14ac:dyDescent="0.35">
      <c r="A42" s="30" t="s">
        <v>241</v>
      </c>
      <c r="B42" s="40">
        <f>'OECD total 1995'!$E$26/'OECD total 1995'!$L$26</f>
        <v>0.31204052008054067</v>
      </c>
      <c r="C42" s="40">
        <f>'OECD total 2000'!$E$26/'OECD total 2000'!$L$26</f>
        <v>0.29933356270590511</v>
      </c>
      <c r="D42" s="40">
        <f>'OECD total 2005'!$E$26/'OECD total 2005'!$L$26</f>
        <v>0.29190120002152503</v>
      </c>
      <c r="E42" s="40">
        <f>'OECD total 2010'!$E$26/'OECD total 2010'!$L$26</f>
        <v>0.29538144092124069</v>
      </c>
      <c r="F42" s="40">
        <f>'OECD total 2015'!$E$26/'OECD total 2015'!$L$26</f>
        <v>0.30354757093471835</v>
      </c>
      <c r="G42" s="40">
        <f>'OECD total 2018'!$E$26/'OECD total 2018'!$L$26</f>
        <v>0.32232361505378965</v>
      </c>
      <c r="H42" s="77">
        <f t="shared" si="0"/>
        <v>0.32232361505378965</v>
      </c>
      <c r="I42" s="77">
        <f t="shared" si="0"/>
        <v>0.32232361505378965</v>
      </c>
    </row>
    <row r="43" spans="1:9" x14ac:dyDescent="0.35">
      <c r="A43" s="30" t="s">
        <v>145</v>
      </c>
      <c r="B43" s="40">
        <f>'OECD total 1995'!$H$26/'OECD total 1995'!$L$26</f>
        <v>9.7814267355528857E-4</v>
      </c>
      <c r="C43" s="40">
        <f>'OECD total 2000'!$H$26/'OECD total 2000'!$L$26</f>
        <v>1.7320771257417296E-3</v>
      </c>
      <c r="D43" s="40">
        <f>'OECD total 2005'!$H$26/'OECD total 2005'!$L$26</f>
        <v>2.0061346391863533E-3</v>
      </c>
      <c r="E43" s="40">
        <f>'OECD total 2010'!$H$26/'OECD total 2010'!$L$26</f>
        <v>5.1482065707590102E-3</v>
      </c>
      <c r="F43" s="40">
        <f>'OECD total 2015'!$H$26/'OECD total 2015'!$L$26</f>
        <v>5.9933365620668351E-3</v>
      </c>
      <c r="G43" s="40">
        <f>'OECD total 2018'!$H$26/'OECD total 2018'!$L$26</f>
        <v>5.5475009848235642E-3</v>
      </c>
      <c r="H43" s="77">
        <f t="shared" si="0"/>
        <v>5.5475009848235642E-3</v>
      </c>
      <c r="I43" s="77">
        <f t="shared" si="0"/>
        <v>5.5475009848235642E-3</v>
      </c>
    </row>
    <row r="44" spans="1:9" x14ac:dyDescent="0.35">
      <c r="A44" s="30" t="s">
        <v>146</v>
      </c>
      <c r="B44" s="40">
        <f>'OECD total 1995'!$I$26/'OECD total 1995'!$L$26</f>
        <v>6.9406506729933768E-3</v>
      </c>
      <c r="C44" s="40">
        <f>'OECD total 2000'!$I$26/'OECD total 2000'!$L$26</f>
        <v>7.107407634336131E-3</v>
      </c>
      <c r="D44" s="40">
        <f>'OECD total 2005'!$I$26/'OECD total 2005'!$L$26</f>
        <v>1.2884894796319216E-2</v>
      </c>
      <c r="E44" s="40">
        <f>'OECD total 2010'!$I$26/'OECD total 2010'!$L$26</f>
        <v>1.5658785105620607E-2</v>
      </c>
      <c r="F44" s="40">
        <f>'OECD total 2015'!$I$26/'OECD total 2015'!$L$26</f>
        <v>1.8915229045241237E-2</v>
      </c>
      <c r="G44" s="40">
        <f>'OECD total 2018'!$I$26/'OECD total 2018'!$L$26</f>
        <v>1.8214159529234032E-2</v>
      </c>
      <c r="H44" s="77">
        <f t="shared" si="0"/>
        <v>1.8214159529234032E-2</v>
      </c>
      <c r="I44" s="77">
        <f t="shared" si="0"/>
        <v>1.8214159529234032E-2</v>
      </c>
    </row>
    <row r="45" spans="1:9" x14ac:dyDescent="0.35">
      <c r="A45" s="30" t="s">
        <v>147</v>
      </c>
      <c r="B45" s="40">
        <f>'OECD total 1995'!$J$26/'OECD total 1995'!$L$26</f>
        <v>0.43381408005161265</v>
      </c>
      <c r="C45" s="40">
        <f>'OECD total 2000'!$J$26/'OECD total 2000'!$L$26</f>
        <v>0.48607739910356174</v>
      </c>
      <c r="D45" s="40">
        <f>'OECD total 2005'!$J$26/'OECD total 2005'!$L$26</f>
        <v>0.50357638702039498</v>
      </c>
      <c r="E45" s="40">
        <f>'OECD total 2010'!$J$26/'OECD total 2010'!$L$26</f>
        <v>0.52451781897258276</v>
      </c>
      <c r="F45" s="40">
        <f>'OECD total 2015'!$J$26/'OECD total 2015'!$L$26</f>
        <v>0.53742547470732649</v>
      </c>
      <c r="G45" s="40">
        <f>'OECD total 2018'!$J$26/'OECD total 2018'!$L$26</f>
        <v>0.53504144381226215</v>
      </c>
      <c r="H45" s="89">
        <f>1-H46-H44-H43-H42-H41-H40</f>
        <v>0.53504144381226215</v>
      </c>
      <c r="I45" s="89">
        <f>1-I46-I44-I43-I42-I41-I40</f>
        <v>0.53504144381226215</v>
      </c>
    </row>
    <row r="46" spans="1:9" x14ac:dyDescent="0.35">
      <c r="A46" s="30" t="s">
        <v>148</v>
      </c>
      <c r="B46" s="40">
        <f>'OECD total 1995'!$K$26/'OECD total 1995'!$L$26</f>
        <v>1.9581063574070894E-2</v>
      </c>
      <c r="C46" s="40">
        <f>'OECD total 2000'!$K$26/'OECD total 2000'!$L$26</f>
        <v>2.0228775574648989E-2</v>
      </c>
      <c r="D46" s="40">
        <f>'OECD total 2005'!$K$26/'OECD total 2005'!$L$26</f>
        <v>2.4095140720012915E-2</v>
      </c>
      <c r="E46" s="40">
        <f>'OECD total 2010'!$K$26/'OECD total 2010'!$L$26</f>
        <v>2.989460591508342E-2</v>
      </c>
      <c r="F46" s="40">
        <f>'OECD total 2015'!$K$26/'OECD total 2015'!$L$26</f>
        <v>2.2956712703952973E-2</v>
      </c>
      <c r="G46" s="40">
        <f>'OECD total 2018'!$K$26/'OECD total 2018'!$L$26</f>
        <v>2.5434845291325024E-2</v>
      </c>
      <c r="H46" s="77">
        <f t="shared" si="0"/>
        <v>2.5434845291325024E-2</v>
      </c>
      <c r="I46" s="77">
        <f t="shared" si="0"/>
        <v>2.5434845291325024E-2</v>
      </c>
    </row>
    <row r="47" spans="1:9" x14ac:dyDescent="0.35">
      <c r="A47" s="31" t="s">
        <v>152</v>
      </c>
      <c r="B47" s="81"/>
      <c r="C47" s="81"/>
      <c r="D47" s="81"/>
      <c r="E47" s="81"/>
      <c r="F47" s="81"/>
      <c r="G47" s="81"/>
      <c r="H47" s="42"/>
      <c r="I47" s="42"/>
    </row>
    <row r="48" spans="1:9" x14ac:dyDescent="0.35">
      <c r="A48" s="30" t="s">
        <v>141</v>
      </c>
      <c r="B48" s="40">
        <f>'OECD total 1995'!$B$27/'OECD total 1995'!$L$27</f>
        <v>3.1076845138207264E-2</v>
      </c>
      <c r="C48" s="40">
        <f>'OECD total 2000'!$B$27/'OECD total 2000'!$L$27</f>
        <v>1.7749938989668916E-2</v>
      </c>
      <c r="D48" s="40">
        <f>'OECD total 2005'!$B$27/'OECD total 2005'!$L$27</f>
        <v>2.1778739395319706E-2</v>
      </c>
      <c r="E48" s="40">
        <f>'OECD total 2010'!$B$27/'OECD total 2010'!$L$27</f>
        <v>1.9235417051706734E-2</v>
      </c>
      <c r="F48" s="40">
        <f>'OECD total 2015'!$B$27/'OECD total 2015'!$L$27</f>
        <v>1.5462476644451309E-2</v>
      </c>
      <c r="G48" s="40">
        <f>'OECD total 2018'!$B$27/'OECD total 2018'!$L$27</f>
        <v>1.4464088695137375E-2</v>
      </c>
      <c r="H48" s="77">
        <f t="shared" si="0"/>
        <v>1.4464088695137375E-2</v>
      </c>
      <c r="I48" s="77">
        <f t="shared" si="0"/>
        <v>1.4464088695137375E-2</v>
      </c>
    </row>
    <row r="49" spans="1:9" x14ac:dyDescent="0.35">
      <c r="A49" s="30" t="s">
        <v>143</v>
      </c>
      <c r="B49" s="40">
        <f>'OECD total 1995'!$D$27/'OECD total 1995'!$L$27</f>
        <v>0.77084190862172686</v>
      </c>
      <c r="C49" s="40">
        <f>'OECD total 2000'!$D$27/'OECD total 2000'!$L$27</f>
        <v>0.76407711705848858</v>
      </c>
      <c r="D49" s="40">
        <f>'OECD total 2005'!$D$27/'OECD total 2005'!$L$27</f>
        <v>0.70178784945624328</v>
      </c>
      <c r="E49" s="40">
        <f>'OECD total 2010'!$D$27/'OECD total 2010'!$L$27</f>
        <v>0.67141983821208717</v>
      </c>
      <c r="F49" s="40">
        <f>'OECD total 2015'!$D$27/'OECD total 2015'!$L$27</f>
        <v>0.64864427476423769</v>
      </c>
      <c r="G49" s="40">
        <f>'OECD total 2018'!$D$27/'OECD total 2018'!$L$27</f>
        <v>0.64538091009391563</v>
      </c>
      <c r="H49" s="77">
        <f t="shared" si="0"/>
        <v>0.64538091009391563</v>
      </c>
      <c r="I49" s="77">
        <f t="shared" si="0"/>
        <v>0.64538091009391563</v>
      </c>
    </row>
    <row r="50" spans="1:9" x14ac:dyDescent="0.35">
      <c r="A50" s="30" t="s">
        <v>241</v>
      </c>
      <c r="B50" s="40">
        <f>'OECD total 1995'!$E$27/'OECD total 1995'!$L$27</f>
        <v>7.7335908558401667E-2</v>
      </c>
      <c r="C50" s="40">
        <f>'OECD total 2000'!$E$27/'OECD total 2000'!$L$27</f>
        <v>8.0501098185959491E-2</v>
      </c>
      <c r="D50" s="40">
        <f>'OECD total 2005'!$E$27/'OECD total 2005'!$L$27</f>
        <v>9.4915447247053461E-2</v>
      </c>
      <c r="E50" s="40">
        <f>'OECD total 2010'!$E$27/'OECD total 2010'!$L$27</f>
        <v>9.2039977821692084E-2</v>
      </c>
      <c r="F50" s="40">
        <f>'OECD total 2015'!$E$27/'OECD total 2015'!$L$27</f>
        <v>8.6963557987965456E-2</v>
      </c>
      <c r="G50" s="40">
        <f>'OECD total 2018'!$E$27/'OECD total 2018'!$L$27</f>
        <v>8.2828772099782025E-2</v>
      </c>
      <c r="H50" s="77">
        <f t="shared" si="0"/>
        <v>8.2828772099782025E-2</v>
      </c>
      <c r="I50" s="77">
        <f t="shared" si="0"/>
        <v>8.2828772099782025E-2</v>
      </c>
    </row>
    <row r="51" spans="1:9" x14ac:dyDescent="0.35">
      <c r="A51" s="30" t="s">
        <v>145</v>
      </c>
      <c r="B51" s="40">
        <f>'OECD total 1995'!$H$27/'OECD total 1995'!$L$27</f>
        <v>1.8205996897064877E-3</v>
      </c>
      <c r="C51" s="40">
        <f>'OECD total 2000'!$H$27/'OECD total 2000'!$L$27</f>
        <v>2.3753355568209549E-3</v>
      </c>
      <c r="D51" s="40">
        <f>'OECD total 2005'!$H$27/'OECD total 2005'!$L$27</f>
        <v>1.167226555827592E-3</v>
      </c>
      <c r="E51" s="40">
        <f>'OECD total 2010'!$H$27/'OECD total 2010'!$L$27</f>
        <v>1.3790358122805272E-3</v>
      </c>
      <c r="F51" s="40">
        <f>'OECD total 2015'!$H$27/'OECD total 2015'!$L$27</f>
        <v>1.137249709434906E-2</v>
      </c>
      <c r="G51" s="40">
        <f>'OECD total 2018'!$H$27/'OECD total 2018'!$L$27</f>
        <v>1.1611635854794005E-2</v>
      </c>
      <c r="H51" s="77">
        <f t="shared" si="0"/>
        <v>1.1611635854794005E-2</v>
      </c>
      <c r="I51" s="77">
        <f t="shared" si="0"/>
        <v>1.1611635854794005E-2</v>
      </c>
    </row>
    <row r="52" spans="1:9" x14ac:dyDescent="0.35">
      <c r="A52" s="30" t="s">
        <v>146</v>
      </c>
      <c r="B52" s="40">
        <f>'OECD total 1995'!$I$27/'OECD total 1995'!$L$27</f>
        <v>2.0279897413165309E-2</v>
      </c>
      <c r="C52" s="40">
        <f>'OECD total 2000'!$I$27/'OECD total 2000'!$L$27</f>
        <v>1.97348084275604E-2</v>
      </c>
      <c r="D52" s="40">
        <f>'OECD total 2005'!$I$27/'OECD total 2005'!$L$27</f>
        <v>2.5152308831065309E-2</v>
      </c>
      <c r="E52" s="40">
        <f>'OECD total 2010'!$I$27/'OECD total 2010'!$L$27</f>
        <v>5.1536132159968155E-2</v>
      </c>
      <c r="F52" s="40">
        <f>'OECD total 2015'!$I$27/'OECD total 2015'!$L$27</f>
        <v>5.5862058819202309E-2</v>
      </c>
      <c r="G52" s="40">
        <f>'OECD total 2018'!$I$27/'OECD total 2018'!$L$27</f>
        <v>5.8192728936250368E-2</v>
      </c>
      <c r="H52" s="77">
        <f t="shared" si="0"/>
        <v>5.8192728936250368E-2</v>
      </c>
      <c r="I52" s="77">
        <f t="shared" si="0"/>
        <v>5.8192728936250368E-2</v>
      </c>
    </row>
    <row r="53" spans="1:9" x14ac:dyDescent="0.35">
      <c r="A53" s="30" t="s">
        <v>147</v>
      </c>
      <c r="B53" s="40">
        <f>'OECD total 1995'!$J$27/'OECD total 1995'!$L$27</f>
        <v>9.307222239812557E-2</v>
      </c>
      <c r="C53" s="40">
        <f>'OECD total 2000'!$J$27/'OECD total 2000'!$L$27</f>
        <v>0.10755714634344749</v>
      </c>
      <c r="D53" s="40">
        <f>'OECD total 2005'!$J$27/'OECD total 2005'!$L$27</f>
        <v>0.15015942606616181</v>
      </c>
      <c r="E53" s="40">
        <f>'OECD total 2010'!$J$27/'OECD total 2010'!$L$27</f>
        <v>0.15927152788637883</v>
      </c>
      <c r="F53" s="40">
        <f>'OECD total 2015'!$J$27/'OECD total 2015'!$L$27</f>
        <v>0.17841432375571936</v>
      </c>
      <c r="G53" s="40">
        <f>'OECD total 2018'!$J$27/'OECD total 2018'!$L$27</f>
        <v>0.18427921745916417</v>
      </c>
      <c r="H53" s="89">
        <f>1-H54-H52-H51-H50-H49-H48</f>
        <v>0.1842792174591642</v>
      </c>
      <c r="I53" s="89">
        <f>1-I54-I52-I51-I50-I49-I48</f>
        <v>0.1842792174591642</v>
      </c>
    </row>
    <row r="54" spans="1:9" x14ac:dyDescent="0.35">
      <c r="A54" s="30" t="s">
        <v>148</v>
      </c>
      <c r="B54" s="40">
        <f>'OECD total 1995'!$K$27/'OECD total 1995'!$L$27</f>
        <v>5.5884494823164365E-3</v>
      </c>
      <c r="C54" s="40">
        <f>'OECD total 2000'!$K$27/'OECD total 2000'!$L$27</f>
        <v>8.004555438054178E-3</v>
      </c>
      <c r="D54" s="40">
        <f>'OECD total 2005'!$K$27/'OECD total 2005'!$L$27</f>
        <v>5.039002448328873E-3</v>
      </c>
      <c r="E54" s="40">
        <f>'OECD total 2010'!$K$27/'OECD total 2010'!$L$27</f>
        <v>3.9665050683120318E-3</v>
      </c>
      <c r="F54" s="40">
        <f>'OECD total 2015'!$K$27/'OECD total 2015'!$L$27</f>
        <v>3.2955230907298701E-3</v>
      </c>
      <c r="G54" s="40">
        <f>'OECD total 2018'!$K$27/'OECD total 2018'!$L$27</f>
        <v>3.2426468609563792E-3</v>
      </c>
      <c r="H54" s="77">
        <f t="shared" si="0"/>
        <v>3.2426468609563792E-3</v>
      </c>
      <c r="I54" s="77">
        <f t="shared" si="0"/>
        <v>3.2426468609563792E-3</v>
      </c>
    </row>
    <row r="55" spans="1:9" x14ac:dyDescent="0.35">
      <c r="A55" s="31" t="s">
        <v>153</v>
      </c>
      <c r="B55" s="81"/>
      <c r="C55" s="81"/>
      <c r="D55" s="81"/>
      <c r="E55" s="81"/>
      <c r="F55" s="81"/>
      <c r="G55" s="81"/>
      <c r="H55" s="42"/>
      <c r="I55" s="42"/>
    </row>
    <row r="56" spans="1:9" x14ac:dyDescent="0.35">
      <c r="A56" s="30" t="s">
        <v>141</v>
      </c>
      <c r="B56" s="40">
        <f>'OECD total 1995'!$B$28/'OECD total 1995'!$L$28</f>
        <v>7.7018633540372671E-3</v>
      </c>
      <c r="C56" s="40">
        <f>'OECD total 2000'!$B$28/'OECD total 2000'!$L$28</f>
        <v>1.9973368841544607E-3</v>
      </c>
      <c r="D56" s="40">
        <f>'OECD total 2005'!$B$28/'OECD total 2005'!$L$28</f>
        <v>2.1310602024507191E-3</v>
      </c>
      <c r="E56" s="40">
        <f>'OECD total 2010'!$B$28/'OECD total 2010'!$L$28</f>
        <v>9.5657164721637655E-4</v>
      </c>
      <c r="F56" s="40">
        <f>'OECD total 2015'!$B$28/'OECD total 2015'!$L$28</f>
        <v>0</v>
      </c>
      <c r="G56" s="40">
        <f>'OECD total 2018'!$B$28/'OECD total 2018'!$L$28</f>
        <v>2.1312872975277067E-4</v>
      </c>
      <c r="H56" s="77">
        <f t="shared" si="0"/>
        <v>2.1312872975277067E-4</v>
      </c>
      <c r="I56" s="77">
        <f t="shared" si="0"/>
        <v>2.1312872975277067E-4</v>
      </c>
    </row>
    <row r="57" spans="1:9" x14ac:dyDescent="0.35">
      <c r="A57" s="30" t="s">
        <v>143</v>
      </c>
      <c r="B57" s="40">
        <f>'OECD total 1995'!$D$28/'OECD total 1995'!$L$28</f>
        <v>0.97515527950310554</v>
      </c>
      <c r="C57" s="40">
        <f>'OECD total 2000'!$D$28/'OECD total 2000'!$L$28</f>
        <v>0.97026187305814471</v>
      </c>
      <c r="D57" s="40">
        <f>'OECD total 2005'!$D$28/'OECD total 2005'!$L$28</f>
        <v>0.93589060557627424</v>
      </c>
      <c r="E57" s="40">
        <f>'OECD total 2010'!$D$28/'OECD total 2010'!$L$28</f>
        <v>0.9144824947388559</v>
      </c>
      <c r="F57" s="40">
        <f>'OECD total 2015'!$D$28/'OECD total 2015'!$L$28</f>
        <v>0.87843942505133465</v>
      </c>
      <c r="G57" s="40">
        <f>'OECD total 2018'!$D$28/'OECD total 2018'!$L$28</f>
        <v>0.8610400682011935</v>
      </c>
      <c r="H57" s="77">
        <f t="shared" si="0"/>
        <v>0.8610400682011935</v>
      </c>
      <c r="I57" s="77">
        <f t="shared" si="0"/>
        <v>0.8610400682011935</v>
      </c>
    </row>
    <row r="58" spans="1:9" x14ac:dyDescent="0.35">
      <c r="A58" s="30" t="s">
        <v>241</v>
      </c>
      <c r="B58" s="40">
        <f>'OECD total 1995'!$E$28/'OECD total 1995'!$L$28</f>
        <v>4.9689440993788822E-4</v>
      </c>
      <c r="C58" s="40">
        <f>'OECD total 2000'!$E$28/'OECD total 2000'!$L$28</f>
        <v>2.2192632046160674E-4</v>
      </c>
      <c r="D58" s="40">
        <f>'OECD total 2005'!$E$28/'OECD total 2005'!$L$28</f>
        <v>2.8414136032676256E-3</v>
      </c>
      <c r="E58" s="40">
        <f>'OECD total 2010'!$E$28/'OECD total 2010'!$L$28</f>
        <v>1.1478859766596518E-3</v>
      </c>
      <c r="F58" s="40">
        <f>'OECD total 2015'!$E$28/'OECD total 2015'!$L$28</f>
        <v>1.1293634496919919E-2</v>
      </c>
      <c r="G58" s="40">
        <f>'OECD total 2018'!$E$28/'OECD total 2018'!$L$28</f>
        <v>9.8039215686274508E-3</v>
      </c>
      <c r="H58" s="77">
        <f t="shared" si="0"/>
        <v>9.8039215686274508E-3</v>
      </c>
      <c r="I58" s="77">
        <f t="shared" si="0"/>
        <v>9.8039215686274508E-3</v>
      </c>
    </row>
    <row r="59" spans="1:9" x14ac:dyDescent="0.35">
      <c r="A59" s="30" t="s">
        <v>145</v>
      </c>
      <c r="B59" s="40">
        <f>'OECD total 1995'!$H$28/'OECD total 1995'!$L$28</f>
        <v>2.732919254658385E-3</v>
      </c>
      <c r="C59" s="40">
        <f>'OECD total 2000'!$H$28/'OECD total 2000'!$L$28</f>
        <v>1.4869063470927653E-2</v>
      </c>
      <c r="D59" s="40">
        <f>'OECD total 2005'!$H$28/'OECD total 2005'!$L$28</f>
        <v>1.5095009767359261E-2</v>
      </c>
      <c r="E59" s="40">
        <f>'OECD total 2010'!$H$28/'OECD total 2010'!$L$28</f>
        <v>1.1287545437153242E-2</v>
      </c>
      <c r="F59" s="40">
        <f>'OECD total 2015'!$H$28/'OECD total 2015'!$L$28</f>
        <v>8.8295687885010261E-3</v>
      </c>
      <c r="G59" s="40">
        <f>'OECD total 2018'!$H$28/'OECD total 2018'!$L$28</f>
        <v>1.23614663256607E-2</v>
      </c>
      <c r="H59" s="77">
        <f t="shared" si="0"/>
        <v>1.23614663256607E-2</v>
      </c>
      <c r="I59" s="77">
        <f t="shared" si="0"/>
        <v>1.23614663256607E-2</v>
      </c>
    </row>
    <row r="60" spans="1:9" x14ac:dyDescent="0.35">
      <c r="A60" s="30" t="s">
        <v>146</v>
      </c>
      <c r="B60" s="40">
        <f>'OECD total 1995'!$I$28/'OECD total 1995'!$L$28</f>
        <v>0</v>
      </c>
      <c r="C60" s="40">
        <f>'OECD total 2000'!$I$28/'OECD total 2000'!$L$28</f>
        <v>0</v>
      </c>
      <c r="D60" s="40">
        <f>'OECD total 2005'!$I$28/'OECD total 2005'!$L$28</f>
        <v>0</v>
      </c>
      <c r="E60" s="40">
        <f>'OECD total 2010'!$I$28/'OECD total 2010'!$L$28</f>
        <v>7.6525731777310122E-4</v>
      </c>
      <c r="F60" s="40">
        <f>'OECD total 2015'!$I$28/'OECD total 2015'!$L$28</f>
        <v>2.8747433264887062E-3</v>
      </c>
      <c r="G60" s="40">
        <f>'OECD total 2018'!$I$28/'OECD total 2018'!$L$28</f>
        <v>3.8363171355498722E-3</v>
      </c>
      <c r="H60" s="77">
        <f t="shared" si="0"/>
        <v>3.8363171355498722E-3</v>
      </c>
      <c r="I60" s="77">
        <f t="shared" si="0"/>
        <v>3.8363171355498722E-3</v>
      </c>
    </row>
    <row r="61" spans="1:9" x14ac:dyDescent="0.35">
      <c r="A61" s="30" t="s">
        <v>147</v>
      </c>
      <c r="B61" s="40">
        <f>'OECD total 1995'!$J$28/'OECD total 1995'!$L$28</f>
        <v>1.3167701863354038E-2</v>
      </c>
      <c r="C61" s="40">
        <f>'OECD total 2000'!$J$28/'OECD total 2000'!$L$28</f>
        <v>1.1762094984465158E-2</v>
      </c>
      <c r="D61" s="40">
        <f>'OECD total 2005'!$J$28/'OECD total 2005'!$L$28</f>
        <v>4.333155744983129E-2</v>
      </c>
      <c r="E61" s="40">
        <f>'OECD total 2010'!$J$28/'OECD total 2010'!$L$28</f>
        <v>7.0403673235125308E-2</v>
      </c>
      <c r="F61" s="40">
        <f>'OECD total 2015'!$J$28/'OECD total 2015'!$L$28</f>
        <v>9.4045174537987677E-2</v>
      </c>
      <c r="G61" s="40">
        <f>'OECD total 2018'!$J$28/'OECD total 2018'!$L$28</f>
        <v>0.10400682011935208</v>
      </c>
      <c r="H61" s="89">
        <f>1-H62-H60-H59-H58-H57-H56</f>
        <v>0.10400682011935214</v>
      </c>
      <c r="I61" s="89">
        <f>1-I62-I60-I59-I58-I57-I56</f>
        <v>0.10400682011935214</v>
      </c>
    </row>
    <row r="62" spans="1:9" x14ac:dyDescent="0.35">
      <c r="A62" s="30" t="s">
        <v>148</v>
      </c>
      <c r="B62" s="40">
        <f>'OECD total 1995'!$K$28/'OECD total 1995'!$L$28</f>
        <v>7.4534161490683233E-4</v>
      </c>
      <c r="C62" s="40">
        <f>'OECD total 2000'!$K$28/'OECD total 2000'!$L$28</f>
        <v>8.8770528184642697E-4</v>
      </c>
      <c r="D62" s="40">
        <f>'OECD total 2005'!$K$28/'OECD total 2005'!$L$28</f>
        <v>8.8794175102113303E-4</v>
      </c>
      <c r="E62" s="40">
        <f>'OECD total 2010'!$K$28/'OECD total 2010'!$L$28</f>
        <v>7.6525731777310122E-4</v>
      </c>
      <c r="F62" s="40">
        <f>'OECD total 2015'!$K$28/'OECD total 2015'!$L$28</f>
        <v>4.517453798767967E-3</v>
      </c>
      <c r="G62" s="40">
        <f>'OECD total 2018'!$K$28/'OECD total 2018'!$L$28</f>
        <v>8.7382779198635976E-3</v>
      </c>
      <c r="H62" s="77">
        <f t="shared" si="0"/>
        <v>8.7382779198635976E-3</v>
      </c>
      <c r="I62" s="77">
        <f t="shared" si="0"/>
        <v>8.7382779198635976E-3</v>
      </c>
    </row>
    <row r="63" spans="1:9" x14ac:dyDescent="0.35">
      <c r="A63" s="31" t="s">
        <v>154</v>
      </c>
      <c r="B63" s="81"/>
      <c r="C63" s="81"/>
      <c r="D63" s="81"/>
      <c r="E63" s="81"/>
      <c r="F63" s="81"/>
      <c r="G63" s="81"/>
      <c r="H63" s="42"/>
      <c r="I63" s="42"/>
    </row>
    <row r="64" spans="1:9" x14ac:dyDescent="0.35">
      <c r="A64" s="30" t="s">
        <v>141</v>
      </c>
      <c r="B64" s="40">
        <f>'OECD total 1995'!$B$29/'OECD total 1995'!$L$29</f>
        <v>3.5267569310122503E-2</v>
      </c>
      <c r="C64" s="40">
        <f>'OECD total 2000'!$B$29/'OECD total 2000'!$L$29</f>
        <v>1.8355708684804562E-2</v>
      </c>
      <c r="D64" s="40">
        <f>'OECD total 2005'!$B$29/'OECD total 2005'!$L$29</f>
        <v>4.3415901073768264E-3</v>
      </c>
      <c r="E64" s="40">
        <f>'OECD total 2010'!$B$29/'OECD total 2010'!$L$29</f>
        <v>5.0611153552330024E-3</v>
      </c>
      <c r="F64" s="40">
        <f>'OECD total 2015'!$B$29/'OECD total 2015'!$L$29</f>
        <v>1.5640613459616806E-3</v>
      </c>
      <c r="G64" s="40">
        <f>'OECD total 2018'!$B$29/'OECD total 2018'!$L$29</f>
        <v>5.1957883146376716E-3</v>
      </c>
      <c r="H64" s="77">
        <f t="shared" si="0"/>
        <v>5.1957883146376716E-3</v>
      </c>
      <c r="I64" s="77">
        <f t="shared" si="0"/>
        <v>5.1957883146376716E-3</v>
      </c>
    </row>
    <row r="65" spans="1:9" x14ac:dyDescent="0.35">
      <c r="A65" s="30" t="s">
        <v>143</v>
      </c>
      <c r="B65" s="40">
        <f>'OECD total 1995'!$D$29/'OECD total 1995'!$L$29</f>
        <v>0.36931012250161188</v>
      </c>
      <c r="C65" s="40">
        <f>'OECD total 2000'!$D$29/'OECD total 2000'!$L$29</f>
        <v>0.22739693477486039</v>
      </c>
      <c r="D65" s="40">
        <f>'OECD total 2005'!$D$29/'OECD total 2005'!$L$29</f>
        <v>0.16722874752878242</v>
      </c>
      <c r="E65" s="40">
        <f>'OECD total 2010'!$D$29/'OECD total 2010'!$L$29</f>
        <v>0.17613636363636365</v>
      </c>
      <c r="F65" s="40">
        <f>'OECD total 2015'!$D$29/'OECD total 2015'!$L$29</f>
        <v>0.16114176478255202</v>
      </c>
      <c r="G65" s="40">
        <f>'OECD total 2018'!$D$29/'OECD total 2018'!$L$29</f>
        <v>0.11946872204252977</v>
      </c>
      <c r="H65" s="77">
        <f t="shared" si="0"/>
        <v>0.11946872204252977</v>
      </c>
      <c r="I65" s="77">
        <f t="shared" si="0"/>
        <v>0.11946872204252977</v>
      </c>
    </row>
    <row r="66" spans="1:9" x14ac:dyDescent="0.35">
      <c r="A66" s="30" t="s">
        <v>241</v>
      </c>
      <c r="B66" s="40">
        <f>'OECD total 1995'!$E$29/'OECD total 1995'!$L$29</f>
        <v>0.36189555125725337</v>
      </c>
      <c r="C66" s="40">
        <f>'OECD total 2000'!$E$29/'OECD total 2000'!$L$29</f>
        <v>0.38944992277533563</v>
      </c>
      <c r="D66" s="40">
        <f>'OECD total 2005'!$E$29/'OECD total 2005'!$L$29</f>
        <v>7.1985114548203277E-2</v>
      </c>
      <c r="E66" s="40">
        <f>'OECD total 2010'!$E$29/'OECD total 2010'!$L$29</f>
        <v>9.2007257448433924E-2</v>
      </c>
      <c r="F66" s="40">
        <f>'OECD total 2015'!$E$29/'OECD total 2015'!$L$29</f>
        <v>4.9181040100795062E-2</v>
      </c>
      <c r="G66" s="40">
        <f>'OECD total 2018'!$E$29/'OECD total 2018'!$L$29</f>
        <v>3.5923198678686943E-2</v>
      </c>
      <c r="H66" s="77">
        <f t="shared" si="0"/>
        <v>3.5923198678686943E-2</v>
      </c>
      <c r="I66" s="77">
        <f t="shared" si="0"/>
        <v>3.5923198678686943E-2</v>
      </c>
    </row>
    <row r="67" spans="1:9" x14ac:dyDescent="0.35">
      <c r="A67" s="30" t="s">
        <v>145</v>
      </c>
      <c r="B67" s="40">
        <f>'OECD total 1995'!$H$29/'OECD total 1995'!$L$29</f>
        <v>4.0618955512572531E-2</v>
      </c>
      <c r="C67" s="40">
        <f>'OECD total 2000'!$H$29/'OECD total 2000'!$L$29</f>
        <v>7.1284305572056554E-4</v>
      </c>
      <c r="D67" s="40">
        <f>'OECD total 2005'!$H$29/'OECD total 2005'!$L$29</f>
        <v>1.2404543163933792E-3</v>
      </c>
      <c r="E67" s="40">
        <f>'OECD total 2010'!$H$29/'OECD total 2010'!$L$29</f>
        <v>1.9576012223071048E-3</v>
      </c>
      <c r="F67" s="40">
        <f>'OECD total 2015'!$H$29/'OECD total 2015'!$L$29</f>
        <v>3.8667072164052657E-3</v>
      </c>
      <c r="G67" s="40">
        <f>'OECD total 2018'!$H$29/'OECD total 2018'!$L$29</f>
        <v>3.9570573257174321E-3</v>
      </c>
      <c r="H67" s="77">
        <f t="shared" si="0"/>
        <v>3.9570573257174321E-3</v>
      </c>
      <c r="I67" s="77">
        <f t="shared" si="0"/>
        <v>3.9570573257174321E-3</v>
      </c>
    </row>
    <row r="68" spans="1:9" x14ac:dyDescent="0.35">
      <c r="A68" s="30" t="s">
        <v>146</v>
      </c>
      <c r="B68" s="40">
        <f>'OECD total 1995'!$I$29/'OECD total 1995'!$L$29</f>
        <v>7.0921985815602835E-3</v>
      </c>
      <c r="C68" s="40">
        <f>'OECD total 2000'!$I$29/'OECD total 2000'!$L$29</f>
        <v>0.12391588451942498</v>
      </c>
      <c r="D68" s="40">
        <f>'OECD total 2005'!$I$29/'OECD total 2005'!$L$29</f>
        <v>3.7678799860448892E-2</v>
      </c>
      <c r="E68" s="40">
        <f>'OECD total 2010'!$I$29/'OECD total 2010'!$L$29</f>
        <v>3.7289915966386554E-2</v>
      </c>
      <c r="F68" s="40">
        <f>'OECD total 2015'!$I$29/'OECD total 2015'!$L$29</f>
        <v>2.7979319633314507E-2</v>
      </c>
      <c r="G68" s="40">
        <f>'OECD total 2018'!$I$29/'OECD total 2018'!$L$29</f>
        <v>1.9028284357580347E-2</v>
      </c>
      <c r="H68" s="77">
        <f t="shared" si="0"/>
        <v>1.9028284357580347E-2</v>
      </c>
      <c r="I68" s="77">
        <f t="shared" si="0"/>
        <v>1.9028284357580347E-2</v>
      </c>
    </row>
    <row r="69" spans="1:9" x14ac:dyDescent="0.35">
      <c r="A69" s="30" t="s">
        <v>147</v>
      </c>
      <c r="B69" s="40">
        <f>'OECD total 1995'!$J$29/'OECD total 1995'!$L$29</f>
        <v>8.9748549323017401E-2</v>
      </c>
      <c r="C69" s="40">
        <f>'OECD total 2000'!$J$29/'OECD total 2000'!$L$29</f>
        <v>4.5562551978139479E-2</v>
      </c>
      <c r="D69" s="40">
        <f>'OECD total 2005'!$J$29/'OECD total 2005'!$L$29</f>
        <v>0.55467690041477691</v>
      </c>
      <c r="E69" s="40">
        <f>'OECD total 2010'!$J$29/'OECD total 2010'!$L$29</f>
        <v>0.68062452253628725</v>
      </c>
      <c r="F69" s="40">
        <f>'OECD total 2015'!$J$29/'OECD total 2015'!$L$29</f>
        <v>0.7486205847851588</v>
      </c>
      <c r="G69" s="40">
        <f>'OECD total 2018'!$J$29/'OECD total 2018'!$L$29</f>
        <v>0.81333012180854725</v>
      </c>
      <c r="H69" s="89">
        <f>1-H70-H68-H67-H66-H65-H64</f>
        <v>0.81336453100268402</v>
      </c>
      <c r="I69" s="89">
        <f>1-I70-I68-I67-I66-I65-I64</f>
        <v>0.81336453100268402</v>
      </c>
    </row>
    <row r="70" spans="1:9" x14ac:dyDescent="0.35">
      <c r="A70" s="30" t="s">
        <v>148</v>
      </c>
      <c r="B70" s="40">
        <f>'OECD total 1995'!$K$29/'OECD total 1995'!$L$29</f>
        <v>9.6002578981302392E-2</v>
      </c>
      <c r="C70" s="40">
        <f>'OECD total 2000'!$K$29/'OECD total 2000'!$L$29</f>
        <v>0.1946061542117144</v>
      </c>
      <c r="D70" s="40">
        <f>'OECD total 2005'!$K$29/'OECD total 2005'!$L$29</f>
        <v>0.16280962902663101</v>
      </c>
      <c r="E70" s="40">
        <f>'OECD total 2010'!$K$29/'OECD total 2010'!$L$29</f>
        <v>6.923223834988541E-3</v>
      </c>
      <c r="F70" s="40">
        <f>'OECD total 2015'!$K$29/'OECD total 2015'!$L$29</f>
        <v>7.6465221358126599E-3</v>
      </c>
      <c r="G70" s="40">
        <f>'OECD total 2018'!$K$29/'OECD total 2018'!$L$29</f>
        <v>3.0624182781639254E-3</v>
      </c>
      <c r="H70" s="77">
        <f t="shared" ref="H70:I132" si="1">G70</f>
        <v>3.0624182781639254E-3</v>
      </c>
      <c r="I70" s="77">
        <f t="shared" si="1"/>
        <v>3.0624182781639254E-3</v>
      </c>
    </row>
    <row r="71" spans="1:9" x14ac:dyDescent="0.35">
      <c r="A71" s="38" t="s">
        <v>155</v>
      </c>
      <c r="B71" s="42"/>
      <c r="C71" s="42"/>
      <c r="D71" s="42"/>
      <c r="E71" s="42"/>
      <c r="F71" s="42"/>
      <c r="G71" s="42"/>
      <c r="H71" s="42"/>
      <c r="I71" s="42"/>
    </row>
    <row r="72" spans="1:9" x14ac:dyDescent="0.35">
      <c r="A72" s="30" t="s">
        <v>147</v>
      </c>
      <c r="B72" s="40">
        <f>'OECD total 1995'!$J21/IF('OECD total 1995'!$J22=0,1,'OECD total 1995'!$J22)*-1</f>
        <v>8.1860148182271872E-2</v>
      </c>
      <c r="C72" s="40">
        <f>'OECD total 2000'!$J21/IF('OECD total 2000'!$J22=0,1,'OECD total 2000'!$J22)*-1</f>
        <v>7.5120792431731767E-2</v>
      </c>
      <c r="D72" s="40">
        <f>'OECD total 2005'!$J21/IF('OECD total 2005'!$J22=0,1,'OECD total 2005'!$J22)*-1</f>
        <v>7.2654895944742101E-2</v>
      </c>
      <c r="E72" s="40">
        <f>'OECD total 2010'!$J21/IF('OECD total 2010'!$J22=0,1,'OECD total 2010'!$J22)*-1</f>
        <v>7.0633227246307426E-2</v>
      </c>
      <c r="F72" s="40">
        <f>'OECD total 2015'!$J21/IF('OECD total 2015'!$J22=0,1,'OECD total 2015'!$J22)*-1</f>
        <v>6.9419558788118271E-2</v>
      </c>
      <c r="G72" s="40">
        <f>'OECD total 2018'!$J21/IF('OECD total 2018'!$J22=0,1,'OECD total 2018'!$J22)*-1</f>
        <v>6.3760066183362343E-2</v>
      </c>
      <c r="H72" s="77">
        <f t="shared" si="1"/>
        <v>6.3760066183362343E-2</v>
      </c>
      <c r="I72" s="77">
        <f t="shared" si="1"/>
        <v>6.3760066183362343E-2</v>
      </c>
    </row>
    <row r="73" spans="1:9" x14ac:dyDescent="0.35">
      <c r="A73" s="30" t="s">
        <v>148</v>
      </c>
      <c r="B73" s="40">
        <f>'OECD total 1995'!$K21/IF('OECD total 1995'!$K22=0,1,'OECD total 1995'!$K22)*-1</f>
        <v>9.8110106820049295E-2</v>
      </c>
      <c r="C73" s="40">
        <f>'OECD total 2000'!$K21/IF('OECD total 2000'!$K22=0,1,'OECD total 2000'!$K22)*-1</f>
        <v>8.0634284503188769E-2</v>
      </c>
      <c r="D73" s="40">
        <f>'OECD total 2005'!$K21/IF('OECD total 2005'!$K22=0,1,'OECD total 2005'!$K22)*-1</f>
        <v>8.5778145695364238E-2</v>
      </c>
      <c r="E73" s="40">
        <f>'OECD total 2010'!$K21/IF('OECD total 2010'!$K22=0,1,'OECD total 2010'!$K22)*-1</f>
        <v>0.10363664500154751</v>
      </c>
      <c r="F73" s="40">
        <f>'OECD total 2015'!$K21/IF('OECD total 2015'!$K22=0,1,'OECD total 2015'!$K22)*-1</f>
        <v>0.10312950702879285</v>
      </c>
      <c r="G73" s="40">
        <f>'OECD total 2018'!$K21/IF('OECD total 2018'!$K22=0,1,'OECD total 2018'!$K22)*-1</f>
        <v>0.10205415652117072</v>
      </c>
      <c r="H73" s="77">
        <f t="shared" si="1"/>
        <v>0.10205415652117072</v>
      </c>
      <c r="I73" s="77">
        <f t="shared" si="1"/>
        <v>0.10205415652117072</v>
      </c>
    </row>
    <row r="74" spans="1:9" x14ac:dyDescent="0.35">
      <c r="A74" s="38" t="s">
        <v>242</v>
      </c>
      <c r="B74" s="42"/>
      <c r="C74" s="42"/>
      <c r="D74" s="42"/>
      <c r="E74" s="42"/>
      <c r="F74" s="42"/>
      <c r="G74" s="42"/>
      <c r="H74" s="42"/>
      <c r="I74" s="42"/>
    </row>
    <row r="75" spans="1:9" x14ac:dyDescent="0.35">
      <c r="A75" s="30" t="s">
        <v>243</v>
      </c>
      <c r="B75" s="40">
        <f>'OECD total 1995'!$L20/B5*0.041872</f>
        <v>9.5139674933972213E-2</v>
      </c>
      <c r="C75" s="40">
        <f>'OECD total 2000'!$L20/C5*0.041872</f>
        <v>9.1684608730739636E-2</v>
      </c>
      <c r="D75" s="40">
        <f>'OECD total 2005'!$L20/D5*0.041872</f>
        <v>9.5206443991282988E-2</v>
      </c>
      <c r="E75" s="40">
        <f>'OECD total 2010'!$L20/E5*0.041872</f>
        <v>0.10084229977600825</v>
      </c>
      <c r="F75" s="40">
        <f>'OECD total 2015'!$L20/F5*0.041872</f>
        <v>0.10099768196851557</v>
      </c>
      <c r="G75" s="40">
        <f>'OECD total 2018'!$L20/G5*0.041872</f>
        <v>9.862690521814739E-2</v>
      </c>
      <c r="H75" s="77">
        <f t="shared" si="1"/>
        <v>9.862690521814739E-2</v>
      </c>
      <c r="I75" s="77">
        <f t="shared" si="1"/>
        <v>9.862690521814739E-2</v>
      </c>
    </row>
    <row r="76" spans="1:9" x14ac:dyDescent="0.35">
      <c r="A76" s="39" t="s">
        <v>158</v>
      </c>
      <c r="B76" s="43"/>
      <c r="C76" s="43"/>
      <c r="D76" s="43"/>
      <c r="E76" s="43"/>
      <c r="F76" s="43"/>
      <c r="G76" s="43"/>
      <c r="H76" s="43">
        <f t="shared" si="1"/>
        <v>0</v>
      </c>
      <c r="I76" s="43">
        <f t="shared" si="1"/>
        <v>0</v>
      </c>
    </row>
    <row r="77" spans="1:9" x14ac:dyDescent="0.35">
      <c r="A77" s="30" t="s">
        <v>147</v>
      </c>
      <c r="B77" s="40">
        <f>'OECD total 1995'!$J20/'OECD total 1995'!$L20</f>
        <v>0.21185665789667288</v>
      </c>
      <c r="C77" s="40">
        <f>'OECD total 2000'!$J20/'OECD total 2000'!$L20</f>
        <v>0.21750420293956091</v>
      </c>
      <c r="D77" s="40">
        <f>'OECD total 2005'!$J20/'OECD total 2005'!$L20</f>
        <v>0.20677414950788744</v>
      </c>
      <c r="E77" s="40">
        <f>'OECD total 2010'!$J20/'OECD total 2010'!$L20</f>
        <v>0.20845754043274445</v>
      </c>
      <c r="F77" s="40">
        <f>'OECD total 2015'!$J20/'OECD total 2015'!$L20</f>
        <v>0.20333103267438041</v>
      </c>
      <c r="G77" s="40">
        <f>'OECD total 2018'!$J20/'OECD total 2018'!$L20</f>
        <v>0.21406071999024387</v>
      </c>
      <c r="H77" s="89">
        <f>1-H78-H79-H80-H81-H82-H83</f>
        <v>0.2140607199902439</v>
      </c>
      <c r="I77" s="89">
        <f>1-I78-I79-I80-I81-I82-I83</f>
        <v>0.2140607199902439</v>
      </c>
    </row>
    <row r="78" spans="1:9" x14ac:dyDescent="0.35">
      <c r="A78" s="30" t="s">
        <v>148</v>
      </c>
      <c r="B78" s="40">
        <f>'OECD total 1995'!$K20/'OECD total 1995'!$L20</f>
        <v>1.1417340765056421E-2</v>
      </c>
      <c r="C78" s="40">
        <f>'OECD total 2000'!$K20/'OECD total 2000'!$L20</f>
        <v>1.1908051334121211E-2</v>
      </c>
      <c r="D78" s="40">
        <f>'OECD total 2005'!$K20/'OECD total 2005'!$L20</f>
        <v>1.6165866130493603E-2</v>
      </c>
      <c r="E78" s="40">
        <f>'OECD total 2010'!$K20/'OECD total 2010'!$L20</f>
        <v>2.5412328060828389E-2</v>
      </c>
      <c r="F78" s="40">
        <f>'OECD total 2015'!$K20/'OECD total 2015'!$L20</f>
        <v>2.2655965086244571E-2</v>
      </c>
      <c r="G78" s="40">
        <f>'OECD total 2018'!$K20/'OECD total 2018'!$L20</f>
        <v>2.442303516667212E-2</v>
      </c>
      <c r="H78" s="77">
        <f t="shared" si="1"/>
        <v>2.442303516667212E-2</v>
      </c>
      <c r="I78" s="77">
        <f t="shared" si="1"/>
        <v>2.442303516667212E-2</v>
      </c>
    </row>
    <row r="79" spans="1:9" x14ac:dyDescent="0.35">
      <c r="A79" s="30" t="s">
        <v>141</v>
      </c>
      <c r="B79" s="40">
        <f>'OECD total 1995'!$B20/'OECD total 1995'!$L20</f>
        <v>5.7699785946756448E-2</v>
      </c>
      <c r="C79" s="40">
        <f>'OECD total 2000'!$B20/'OECD total 2000'!$L20</f>
        <v>5.2935399570551128E-2</v>
      </c>
      <c r="D79" s="40">
        <f>'OECD total 2005'!$B20/'OECD total 2005'!$L20</f>
        <v>4.6167355500117906E-2</v>
      </c>
      <c r="E79" s="40">
        <f>'OECD total 2010'!$B20/'OECD total 2010'!$L20</f>
        <v>4.9508999211791131E-2</v>
      </c>
      <c r="F79" s="40">
        <f>'OECD total 2015'!$B20/'OECD total 2015'!$L20</f>
        <v>4.98147919310164E-2</v>
      </c>
      <c r="G79" s="40">
        <f>'OECD total 2018'!$B20/'OECD total 2018'!$L20</f>
        <v>4.8795505043144088E-2</v>
      </c>
      <c r="H79" s="77">
        <f t="shared" si="1"/>
        <v>4.8795505043144088E-2</v>
      </c>
      <c r="I79" s="77">
        <f t="shared" si="1"/>
        <v>4.8795505043144088E-2</v>
      </c>
    </row>
    <row r="80" spans="1:9" x14ac:dyDescent="0.35">
      <c r="A80" s="30" t="s">
        <v>244</v>
      </c>
      <c r="B80" s="40">
        <f>'OECD total 1995'!$E20/'OECD total 1995'!$L20</f>
        <v>0.27919059146659753</v>
      </c>
      <c r="C80" s="40">
        <f>'OECD total 2000'!$E20/'OECD total 2000'!$L20</f>
        <v>0.30043111340446427</v>
      </c>
      <c r="D80" s="40">
        <f>'OECD total 2005'!$E20/'OECD total 2005'!$L20</f>
        <v>0.32628054759156522</v>
      </c>
      <c r="E80" s="40">
        <f>'OECD total 2010'!$E20/'OECD total 2010'!$L20</f>
        <v>0.3477008599180974</v>
      </c>
      <c r="F80" s="40">
        <f>'OECD total 2015'!$E20/'OECD total 2015'!$L20</f>
        <v>0.39340966698715146</v>
      </c>
      <c r="G80" s="40">
        <f>'OECD total 2018'!$E20/'OECD total 2018'!$L20</f>
        <v>0.41238968587057068</v>
      </c>
      <c r="H80" s="77">
        <f t="shared" si="1"/>
        <v>0.41238968587057068</v>
      </c>
      <c r="I80" s="77">
        <f t="shared" si="1"/>
        <v>0.41238968587057068</v>
      </c>
    </row>
    <row r="81" spans="1:9" x14ac:dyDescent="0.35">
      <c r="A81" s="30" t="s">
        <v>160</v>
      </c>
      <c r="B81" s="40">
        <f>'OECD total 1995'!$C20/'OECD total 1995'!$L20</f>
        <v>4.505277761234292E-3</v>
      </c>
      <c r="C81" s="40">
        <f>'OECD total 2000'!$C20/'OECD total 2000'!$L20</f>
        <v>2.5101120229039401E-3</v>
      </c>
      <c r="D81" s="40">
        <f>'OECD total 2005'!$C20/'OECD total 2005'!$L20</f>
        <v>1.7996549627037023E-4</v>
      </c>
      <c r="E81" s="40">
        <f>'OECD total 2010'!$C20/'OECD total 2010'!$L20</f>
        <v>3.0224550632048692E-4</v>
      </c>
      <c r="F81" s="40">
        <f>'OECD total 2015'!$C20/'OECD total 2015'!$L20</f>
        <v>1.7480989424001399E-4</v>
      </c>
      <c r="G81" s="40">
        <f>'OECD total 2018'!$C20/'OECD total 2018'!$L20</f>
        <v>2.647241663419582E-4</v>
      </c>
      <c r="H81" s="77">
        <f t="shared" si="1"/>
        <v>2.647241663419582E-4</v>
      </c>
      <c r="I81" s="77">
        <f t="shared" si="1"/>
        <v>2.647241663419582E-4</v>
      </c>
    </row>
    <row r="82" spans="1:9" x14ac:dyDescent="0.35">
      <c r="A82" s="30" t="s">
        <v>143</v>
      </c>
      <c r="B82" s="40">
        <f>'OECD total 1995'!$D20/'OECD total 1995'!$L20</f>
        <v>0.43514116653762747</v>
      </c>
      <c r="C82" s="40">
        <f>'OECD total 2000'!$D20/'OECD total 2000'!$L20</f>
        <v>0.4146745010569769</v>
      </c>
      <c r="D82" s="40">
        <f>'OECD total 2005'!$D20/'OECD total 2005'!$L20</f>
        <v>0.40409390475481255</v>
      </c>
      <c r="E82" s="40">
        <f>'OECD total 2010'!$D20/'OECD total 2010'!$L20</f>
        <v>0.36656749853322035</v>
      </c>
      <c r="F82" s="40">
        <f>'OECD total 2015'!$D20/'OECD total 2015'!$L20</f>
        <v>0.32813324130697524</v>
      </c>
      <c r="G82" s="40">
        <f>'OECD total 2018'!$D20/'OECD total 2018'!$L20</f>
        <v>0.29744585795912543</v>
      </c>
      <c r="H82" s="77">
        <f t="shared" si="1"/>
        <v>0.29744585795912543</v>
      </c>
      <c r="I82" s="77">
        <f t="shared" si="1"/>
        <v>0.29744585795912543</v>
      </c>
    </row>
    <row r="83" spans="1:9" x14ac:dyDescent="0.35">
      <c r="A83" s="30" t="s">
        <v>161</v>
      </c>
      <c r="B83" s="40">
        <f>'OECD total 1995'!$I20/'OECD total 1995'!$L20</f>
        <v>1.8567629964651438E-4</v>
      </c>
      <c r="C83" s="40">
        <f>'OECD total 2000'!$I20/'OECD total 2000'!$L20</f>
        <v>3.6619671421675517E-5</v>
      </c>
      <c r="D83" s="40">
        <f>'OECD total 2005'!$I20/'OECD total 2005'!$L20</f>
        <v>3.3821101885293716E-4</v>
      </c>
      <c r="E83" s="40">
        <f>'OECD total 2010'!$I20/'OECD total 2010'!$L20</f>
        <v>2.0446019545209411E-3</v>
      </c>
      <c r="F83" s="40">
        <f>'OECD total 2015'!$I20/'OECD total 2015'!$L20</f>
        <v>2.4804921199919226E-3</v>
      </c>
      <c r="G83" s="40">
        <f>'OECD total 2018'!$I20/'OECD total 2018'!$L20</f>
        <v>2.6204718039018558E-3</v>
      </c>
      <c r="H83" s="77">
        <f t="shared" si="1"/>
        <v>2.6204718039018558E-3</v>
      </c>
      <c r="I83" s="77">
        <f t="shared" si="1"/>
        <v>2.6204718039018558E-3</v>
      </c>
    </row>
    <row r="84" spans="1:9" ht="18.75" customHeight="1" x14ac:dyDescent="0.35">
      <c r="A84" s="32" t="s">
        <v>162</v>
      </c>
      <c r="B84" s="82"/>
      <c r="C84" s="82"/>
      <c r="D84" s="82"/>
      <c r="E84" s="82"/>
      <c r="F84" s="82"/>
      <c r="G84" s="82"/>
      <c r="H84" s="42"/>
      <c r="I84" s="42"/>
    </row>
    <row r="85" spans="1:9" x14ac:dyDescent="0.35">
      <c r="A85" s="30" t="s">
        <v>163</v>
      </c>
      <c r="B85" s="40">
        <f>'OECD total 1995'!$K13/IF(('OECD total 1995'!$K13+'OECD total 1995'!$K14)=0,1,('OECD total 1995'!$K13+'OECD total 1995'!$K14))</f>
        <v>0.67589142221358811</v>
      </c>
      <c r="C85" s="40">
        <f>'OECD total 2000'!$K13/IF(('OECD total 2000'!$K13+'OECD total 2000'!$K14)=0,1,('OECD total 2000'!$K13+'OECD total 2000'!$K14))</f>
        <v>0.72624920299338902</v>
      </c>
      <c r="D85" s="40">
        <f>'OECD total 2005'!$K13/IF(('OECD total 2005'!$K13+'OECD total 2005'!$K14)=0,1,('OECD total 2005'!$K13+'OECD total 2005'!$K14))</f>
        <v>0.75436182586740053</v>
      </c>
      <c r="E85" s="40">
        <f>'OECD total 2010'!$K13/IF(('OECD total 2010'!$K13+'OECD total 2010'!$K14)=0,1,('OECD total 2010'!$K13+'OECD total 2010'!$K14))</f>
        <v>0.7540082226359921</v>
      </c>
      <c r="F85" s="40">
        <f>'OECD total 2015'!$K13/IF(('OECD total 2015'!$K13+'OECD total 2015'!$K14)=0,1,('OECD total 2015'!$K13+'OECD total 2015'!$K14))</f>
        <v>0.74843368077992867</v>
      </c>
      <c r="G85" s="40">
        <f>'OECD total 2018'!$K13/IF(('OECD total 2018'!$K13+'OECD total 2018'!$K14)=0,1,('OECD total 2018'!$K13+'OECD total 2018'!$K14))</f>
        <v>0.74798211024955674</v>
      </c>
      <c r="H85" s="89">
        <f>1-H86</f>
        <v>0.74798211024955674</v>
      </c>
      <c r="I85" s="89">
        <f>1-I86</f>
        <v>0.74798211024955674</v>
      </c>
    </row>
    <row r="86" spans="1:9" x14ac:dyDescent="0.35">
      <c r="A86" s="30" t="s">
        <v>164</v>
      </c>
      <c r="B86" s="40">
        <f>'OECD total 1995'!$K14/IF(('OECD total 1995'!$K13+'OECD total 1995'!$K14)=0,1,('OECD total 1995'!$K13+'OECD total 1995'!$K14))</f>
        <v>0.32410857778641189</v>
      </c>
      <c r="C86" s="40">
        <f>'OECD total 2000'!$K14/IF(('OECD total 2000'!$K13+'OECD total 2000'!$K14)=0,1,('OECD total 2000'!$K13+'OECD total 2000'!$K14))</f>
        <v>0.27375079700661098</v>
      </c>
      <c r="D86" s="40">
        <f>'OECD total 2005'!$K14/IF(('OECD total 2005'!$K13+'OECD total 2005'!$K14)=0,1,('OECD total 2005'!$K13+'OECD total 2005'!$K14))</f>
        <v>0.2456381741325995</v>
      </c>
      <c r="E86" s="40">
        <f>'OECD total 2010'!$K14/IF(('OECD total 2010'!$K13+'OECD total 2010'!$K14)=0,1,('OECD total 2010'!$K13+'OECD total 2010'!$K14))</f>
        <v>0.24599177736400785</v>
      </c>
      <c r="F86" s="40">
        <f>'OECD total 2015'!$K14/IF(('OECD total 2015'!$K13+'OECD total 2015'!$K14)=0,1,('OECD total 2015'!$K13+'OECD total 2015'!$K14))</f>
        <v>0.25156631922007139</v>
      </c>
      <c r="G86" s="40">
        <f>'OECD total 2018'!$K14/IF(('OECD total 2018'!$K13+'OECD total 2018'!$K14)=0,1,('OECD total 2018'!$K13+'OECD total 2018'!$K14))</f>
        <v>0.25201788975044326</v>
      </c>
      <c r="H86" s="77">
        <f t="shared" si="1"/>
        <v>0.25201788975044326</v>
      </c>
      <c r="I86" s="77">
        <f t="shared" si="1"/>
        <v>0.25201788975044326</v>
      </c>
    </row>
    <row r="87" spans="1:9" x14ac:dyDescent="0.35">
      <c r="A87" s="32" t="s">
        <v>165</v>
      </c>
      <c r="B87" s="82"/>
      <c r="C87" s="82"/>
      <c r="D87" s="82"/>
      <c r="E87" s="82"/>
      <c r="F87" s="82"/>
      <c r="G87" s="82"/>
      <c r="H87" s="42"/>
      <c r="I87" s="42"/>
    </row>
    <row r="88" spans="1:9" x14ac:dyDescent="0.35">
      <c r="A88" s="30" t="s">
        <v>166</v>
      </c>
      <c r="B88" s="40">
        <f>'OECD total 1995'!$J14/IF('OECD total 1995'!$K14=0,1,'OECD total 1995'!$K14)*-1</f>
        <v>3.2802964254577155E-2</v>
      </c>
      <c r="C88" s="40">
        <f>'OECD total 2000'!$J14/IF('OECD total 2000'!$K14=0,1,'OECD total 2000'!$K14)*-1</f>
        <v>3.2117683113699051E-2</v>
      </c>
      <c r="D88" s="40">
        <f>'OECD total 2005'!$J14/IF('OECD total 2005'!$K14=0,1,'OECD total 2005'!$K14)*-1</f>
        <v>2.1135300571692557E-2</v>
      </c>
      <c r="E88" s="40">
        <f>'OECD total 2010'!$J14/IF('OECD total 2010'!$K14=0,1,'OECD total 2010'!$K14)*-1</f>
        <v>1.7780035560071121E-2</v>
      </c>
      <c r="F88" s="40">
        <f>'OECD total 2015'!$J14/IF('OECD total 2015'!$K14=0,1,'OECD total 2015'!$K14)*-1</f>
        <v>2.0828679919589012E-2</v>
      </c>
      <c r="G88" s="40">
        <f>'OECD total 2018'!$J14/IF('OECD total 2018'!$K14=0,1,'OECD total 2018'!$K14)*-1</f>
        <v>1.968917357975428E-2</v>
      </c>
      <c r="H88" s="77">
        <f t="shared" si="1"/>
        <v>1.968917357975428E-2</v>
      </c>
      <c r="I88" s="77">
        <f t="shared" si="1"/>
        <v>1.968917357975428E-2</v>
      </c>
    </row>
    <row r="89" spans="1:9" ht="18.75" customHeight="1" x14ac:dyDescent="0.35">
      <c r="A89" s="32" t="s">
        <v>167</v>
      </c>
      <c r="B89" s="82"/>
      <c r="C89" s="82"/>
      <c r="D89" s="82"/>
      <c r="E89" s="82"/>
      <c r="F89" s="82"/>
      <c r="G89" s="82"/>
      <c r="H89" s="42"/>
      <c r="I89" s="42"/>
    </row>
    <row r="90" spans="1:9" x14ac:dyDescent="0.35">
      <c r="A90" s="30" t="s">
        <v>168</v>
      </c>
      <c r="B90" s="34">
        <f>'OECD total 1995'!$J13/IF('OECD total 1995'!$K13=0,1,'OECD total 1995'!$K13)</f>
        <v>1.7449243552559379</v>
      </c>
      <c r="C90" s="34">
        <f>'OECD total 2000'!$J13/IF('OECD total 2000'!$K13=0,1,'OECD total 2000'!$K13)</f>
        <v>1.7333826213524941</v>
      </c>
      <c r="D90" s="34">
        <f>'OECD total 2005'!$J13/IF('OECD total 2005'!$K13=0,1,'OECD total 2005'!$K13)</f>
        <v>1.741731069366879</v>
      </c>
      <c r="E90" s="34">
        <f>'OECD total 2010'!$J13/IF('OECD total 2010'!$K13=0,1,'OECD total 2010'!$K13)</f>
        <v>1.638221353044516</v>
      </c>
      <c r="F90" s="34">
        <f>'OECD total 2015'!$J13/IF('OECD total 2015'!$K13=0,1,'OECD total 2015'!$K13)</f>
        <v>1.7669957580990276</v>
      </c>
      <c r="G90" s="34">
        <f>'OECD total 2018'!$J13/IF('OECD total 2018'!$K13=0,1,'OECD total 2018'!$K13)</f>
        <v>1.7191657231814321</v>
      </c>
      <c r="H90" s="78">
        <f t="shared" si="1"/>
        <v>1.7191657231814321</v>
      </c>
      <c r="I90" s="78">
        <f t="shared" si="1"/>
        <v>1.7191657231814321</v>
      </c>
    </row>
    <row r="91" spans="1:9" ht="18.75" customHeight="1" x14ac:dyDescent="0.35">
      <c r="A91" s="32" t="s">
        <v>169</v>
      </c>
      <c r="B91" s="82"/>
      <c r="C91" s="82"/>
      <c r="D91" s="82"/>
      <c r="E91" s="82"/>
      <c r="F91" s="82"/>
      <c r="G91" s="82"/>
      <c r="H91" s="33"/>
      <c r="I91" s="33"/>
    </row>
    <row r="92" spans="1:9" x14ac:dyDescent="0.35">
      <c r="A92" s="30" t="s">
        <v>170</v>
      </c>
      <c r="B92" s="40">
        <v>1</v>
      </c>
      <c r="C92" s="40">
        <v>1</v>
      </c>
      <c r="D92" s="40">
        <v>1</v>
      </c>
      <c r="E92" s="40">
        <v>1</v>
      </c>
      <c r="F92" s="40">
        <v>1</v>
      </c>
      <c r="G92" s="40">
        <v>1</v>
      </c>
      <c r="H92" s="77">
        <f t="shared" si="1"/>
        <v>1</v>
      </c>
      <c r="I92" s="77">
        <f t="shared" si="1"/>
        <v>1</v>
      </c>
    </row>
    <row r="93" spans="1:9" x14ac:dyDescent="0.35">
      <c r="A93" s="32" t="s">
        <v>171</v>
      </c>
      <c r="B93" s="82"/>
      <c r="C93" s="82"/>
      <c r="D93" s="82"/>
      <c r="E93" s="82"/>
      <c r="F93" s="82"/>
      <c r="G93" s="82"/>
      <c r="H93" s="42"/>
      <c r="I93" s="42"/>
    </row>
    <row r="94" spans="1:9" x14ac:dyDescent="0.35">
      <c r="A94" s="30" t="s">
        <v>172</v>
      </c>
      <c r="B94" s="40">
        <f>'OECD total 1995'!$G12/'OECD total 1995'!$J12*-1</f>
        <v>0.16980223698174404</v>
      </c>
      <c r="C94" s="40">
        <f>'OECD total 2000'!$G12/'OECD total 2000'!$J12*-1</f>
        <v>0.15106352040515561</v>
      </c>
      <c r="D94" s="40">
        <f>'OECD total 2005'!$G12/'OECD total 2005'!$J12*-1</f>
        <v>0.137793038648757</v>
      </c>
      <c r="E94" s="40">
        <f>'OECD total 2010'!$G12/'OECD total 2010'!$J12*-1</f>
        <v>0.13881377749621734</v>
      </c>
      <c r="F94" s="40">
        <f>'OECD total 2015'!$G12/'OECD total 2015'!$J12*-1</f>
        <v>0.14156071226083741</v>
      </c>
      <c r="G94" s="40">
        <f>'OECD total 2018'!$G12/'OECD total 2018'!$J12*-1</f>
        <v>0.14245629231946877</v>
      </c>
      <c r="H94" s="77">
        <f t="shared" si="1"/>
        <v>0.14245629231946877</v>
      </c>
      <c r="I94" s="77">
        <f t="shared" si="1"/>
        <v>0.14245629231946877</v>
      </c>
    </row>
    <row r="95" spans="1:9" x14ac:dyDescent="0.35">
      <c r="A95" s="30" t="s">
        <v>145</v>
      </c>
      <c r="B95" s="40">
        <f>'OECD total 1995'!$H12/'OECD total 1995'!$J12*-1</f>
        <v>3.8705984760859971E-2</v>
      </c>
      <c r="C95" s="40">
        <f>'OECD total 2000'!$H12/'OECD total 2000'!$J12*-1</f>
        <v>3.8891166826704536E-2</v>
      </c>
      <c r="D95" s="40">
        <f>'OECD total 2005'!$H12/'OECD total 2005'!$J12*-1</f>
        <v>3.9751917925811509E-2</v>
      </c>
      <c r="E95" s="40">
        <f>'OECD total 2010'!$H12/'OECD total 2010'!$J12*-1</f>
        <v>5.9782989815093251E-2</v>
      </c>
      <c r="F95" s="40">
        <f>'OECD total 2015'!$H12/'OECD total 2015'!$J12*-1</f>
        <v>0.11261456685379302</v>
      </c>
      <c r="G95" s="40">
        <f>'OECD total 2018'!$H12/'OECD total 2018'!$J12*-1</f>
        <v>0.14451298810335822</v>
      </c>
      <c r="H95" s="77">
        <v>0.25</v>
      </c>
      <c r="I95" s="77">
        <v>0.35</v>
      </c>
    </row>
    <row r="96" spans="1:9" x14ac:dyDescent="0.35">
      <c r="A96" s="30" t="s">
        <v>173</v>
      </c>
      <c r="B96" s="40">
        <f t="shared" ref="B96:G96" si="2">1-B94-B95</f>
        <v>0.79149177825739603</v>
      </c>
      <c r="C96" s="40">
        <f t="shared" si="2"/>
        <v>0.81004531276813985</v>
      </c>
      <c r="D96" s="40">
        <f t="shared" si="2"/>
        <v>0.82245504342543141</v>
      </c>
      <c r="E96" s="40">
        <f t="shared" si="2"/>
        <v>0.8014032326886894</v>
      </c>
      <c r="F96" s="40">
        <f t="shared" si="2"/>
        <v>0.74582472088536955</v>
      </c>
      <c r="G96" s="40">
        <f t="shared" si="2"/>
        <v>0.71303071957717301</v>
      </c>
      <c r="H96" s="89">
        <f>1-H95-H94</f>
        <v>0.60754370768053123</v>
      </c>
      <c r="I96" s="89">
        <f>1-I95-I94</f>
        <v>0.50754370768053125</v>
      </c>
    </row>
    <row r="97" spans="1:9" x14ac:dyDescent="0.35">
      <c r="A97" s="32" t="s">
        <v>174</v>
      </c>
      <c r="B97" s="82"/>
      <c r="C97" s="82"/>
      <c r="D97" s="82"/>
      <c r="E97" s="82"/>
      <c r="F97" s="82"/>
      <c r="G97" s="82"/>
      <c r="H97" s="42"/>
      <c r="I97" s="42"/>
    </row>
    <row r="98" spans="1:9" x14ac:dyDescent="0.35">
      <c r="A98" s="30" t="s">
        <v>145</v>
      </c>
      <c r="B98" s="40">
        <f>'OECD total 1995'!$H13/IF(('OECD total 1995'!$J13+'OECD total 1995'!$K13)=0,1,('OECD total 1995'!$J13+'OECD total 1995'!$K13))*-1</f>
        <v>5.1022836527020209E-3</v>
      </c>
      <c r="C98" s="40">
        <f>'OECD total 2000'!$H13/IF(('OECD total 2000'!$J13+'OECD total 2000'!$K13)=0,1,('OECD total 2000'!$J13+'OECD total 2000'!$K13))*-1</f>
        <v>7.4804114648927807E-3</v>
      </c>
      <c r="D98" s="40">
        <f>'OECD total 2005'!$H13/IF(('OECD total 2005'!$J13+'OECD total 2005'!$K13)=0,1,('OECD total 2005'!$J13+'OECD total 2005'!$K13))*-1</f>
        <v>6.5702842093712278E-3</v>
      </c>
      <c r="E98" s="40">
        <f>'OECD total 2010'!$H13/IF(('OECD total 2010'!$J13+'OECD total 2010'!$K13)=0,1,('OECD total 2010'!$J13+'OECD total 2010'!$K13))*-1</f>
        <v>1.2846687816063072E-2</v>
      </c>
      <c r="F98" s="40">
        <f>'OECD total 2015'!$H13/IF(('OECD total 2015'!$J13+'OECD total 2015'!$K13)=0,1,('OECD total 2015'!$J13+'OECD total 2015'!$K13))*-1</f>
        <v>1.8511735178401847E-2</v>
      </c>
      <c r="G98" s="40">
        <f>'OECD total 2018'!$H13/IF(('OECD total 2018'!$J13+'OECD total 2018'!$K13)=0,1,('OECD total 2018'!$J13+'OECD total 2018'!$K13))*-1</f>
        <v>1.9003441568158013E-2</v>
      </c>
      <c r="H98" s="77">
        <f t="shared" si="1"/>
        <v>1.9003441568158013E-2</v>
      </c>
      <c r="I98" s="77">
        <f t="shared" si="1"/>
        <v>1.9003441568158013E-2</v>
      </c>
    </row>
    <row r="99" spans="1:9" x14ac:dyDescent="0.35">
      <c r="A99" s="30" t="s">
        <v>173</v>
      </c>
      <c r="B99" s="40">
        <f t="shared" ref="B99:G99" si="3">1-B98</f>
        <v>0.99489771634729796</v>
      </c>
      <c r="C99" s="40">
        <f t="shared" si="3"/>
        <v>0.99251958853510724</v>
      </c>
      <c r="D99" s="40">
        <f t="shared" si="3"/>
        <v>0.99342971579062878</v>
      </c>
      <c r="E99" s="40">
        <f t="shared" si="3"/>
        <v>0.98715331218393698</v>
      </c>
      <c r="F99" s="40">
        <f t="shared" si="3"/>
        <v>0.98148826482159812</v>
      </c>
      <c r="G99" s="40">
        <f t="shared" si="3"/>
        <v>0.98099655843184197</v>
      </c>
      <c r="H99" s="89">
        <f>1-H98</f>
        <v>0.98099655843184197</v>
      </c>
      <c r="I99" s="89">
        <f>1-I98</f>
        <v>0.98099655843184197</v>
      </c>
    </row>
    <row r="100" spans="1:9" x14ac:dyDescent="0.35">
      <c r="A100" s="32" t="s">
        <v>175</v>
      </c>
      <c r="B100" s="82"/>
      <c r="C100" s="82"/>
      <c r="D100" s="82"/>
      <c r="E100" s="82"/>
      <c r="F100" s="82"/>
      <c r="G100" s="82"/>
      <c r="H100" s="42"/>
      <c r="I100" s="42"/>
    </row>
    <row r="101" spans="1:9" x14ac:dyDescent="0.35">
      <c r="A101" s="30" t="s">
        <v>145</v>
      </c>
      <c r="B101" s="40">
        <f>'OECD total 1995'!$H14/IF('OECD total 1995'!$K14=0,1,'OECD total 1995'!$K14)*-1</f>
        <v>2.0215780296425456E-2</v>
      </c>
      <c r="C101" s="40">
        <f>'OECD total 2000'!$H14/IF('OECD total 2000'!$K14=0,1,'OECD total 2000'!$K14)*-1</f>
        <v>2.8072326080294207E-2</v>
      </c>
      <c r="D101" s="40">
        <f>'OECD total 2005'!$H14/IF('OECD total 2005'!$K14=0,1,'OECD total 2005'!$K14)*-1</f>
        <v>3.6957902639025236E-2</v>
      </c>
      <c r="E101" s="40">
        <f>'OECD total 2010'!$H14/IF('OECD total 2010'!$K14=0,1,'OECD total 2010'!$K14)*-1</f>
        <v>4.4805689611379221E-2</v>
      </c>
      <c r="F101" s="40">
        <f>'OECD total 2015'!$H14/IF('OECD total 2015'!$K14=0,1,'OECD total 2015'!$K14)*-1</f>
        <v>6.6171543444270717E-2</v>
      </c>
      <c r="G101" s="40">
        <f>'OECD total 2018'!$H14/IF('OECD total 2018'!$K14=0,1,'OECD total 2018'!$K14)*-1</f>
        <v>8.4164653995589631E-2</v>
      </c>
      <c r="H101" s="77">
        <f t="shared" si="1"/>
        <v>8.4164653995589631E-2</v>
      </c>
      <c r="I101" s="77">
        <f t="shared" si="1"/>
        <v>8.4164653995589631E-2</v>
      </c>
    </row>
    <row r="102" spans="1:9" x14ac:dyDescent="0.35">
      <c r="A102" s="30" t="s">
        <v>173</v>
      </c>
      <c r="B102" s="40">
        <f t="shared" ref="B102:G102" si="4">1-B101</f>
        <v>0.97978421970357454</v>
      </c>
      <c r="C102" s="40">
        <f t="shared" si="4"/>
        <v>0.9719276739197058</v>
      </c>
      <c r="D102" s="40">
        <f t="shared" si="4"/>
        <v>0.96304209736097479</v>
      </c>
      <c r="E102" s="40">
        <f t="shared" si="4"/>
        <v>0.95519431038862079</v>
      </c>
      <c r="F102" s="40">
        <f t="shared" si="4"/>
        <v>0.93382845655572932</v>
      </c>
      <c r="G102" s="40">
        <f t="shared" si="4"/>
        <v>0.91583534600441041</v>
      </c>
      <c r="H102" s="89">
        <f>1-H101</f>
        <v>0.91583534600441041</v>
      </c>
      <c r="I102" s="89">
        <f>1-I101</f>
        <v>0.91583534600441041</v>
      </c>
    </row>
    <row r="103" spans="1:9" x14ac:dyDescent="0.35">
      <c r="A103" s="31" t="s">
        <v>176</v>
      </c>
      <c r="B103" s="81"/>
      <c r="C103" s="81"/>
      <c r="D103" s="81"/>
      <c r="E103" s="81"/>
      <c r="F103" s="81"/>
      <c r="G103" s="81"/>
      <c r="H103" s="42"/>
      <c r="I103" s="42"/>
    </row>
    <row r="104" spans="1:9" x14ac:dyDescent="0.35">
      <c r="A104" s="30" t="s">
        <v>177</v>
      </c>
      <c r="B104" s="40">
        <f>('OECD total 1995'!$J12+'OECD total 1995'!$G12+'OECD total 1995'!$H12)/('OECD total 1995'!$B12+'OECD total 1995'!$D12+'OECD total 1995'!$E12+'OECD total 1995'!$F12+'OECD total 1995'!$I12)*-1</f>
        <v>0.34717709192806639</v>
      </c>
      <c r="C104" s="40">
        <f>('OECD total 2000'!$J12+'OECD total 2000'!$G12+'OECD total 2000'!$H12)/('OECD total 2000'!$B12+'OECD total 2000'!$D12+'OECD total 2000'!$E12+'OECD total 2000'!$F12+'OECD total 2000'!$I12)*-1</f>
        <v>0.34929542935709129</v>
      </c>
      <c r="D104" s="40">
        <f>('OECD total 2005'!$J12+'OECD total 2005'!$G12+'OECD total 2005'!$H12)/('OECD total 2005'!$B12+'OECD total 2005'!$D12+'OECD total 2005'!$E12+'OECD total 2005'!$F12+'OECD total 2005'!$I12)*-1</f>
        <v>0.36370276304089494</v>
      </c>
      <c r="E104" s="40">
        <f>('OECD total 2010'!$J12+'OECD total 2010'!$G12+'OECD total 2010'!$H12)/('OECD total 2010'!$B12+'OECD total 2010'!$D12+'OECD total 2010'!$E12+'OECD total 2010'!$F12+'OECD total 2010'!$I12)*-1</f>
        <v>0.37032673643092806</v>
      </c>
      <c r="F104" s="40">
        <f>('OECD total 2015'!$J12+'OECD total 2015'!$G12+'OECD total 2015'!$H12)/('OECD total 2015'!$B12+'OECD total 2015'!$D12+'OECD total 2015'!$E12+'OECD total 2015'!$F12+'OECD total 2015'!$I12)*-1</f>
        <v>0.37692682437477509</v>
      </c>
      <c r="G104" s="40">
        <f>('OECD total 2018'!$J12+'OECD total 2018'!$G12+'OECD total 2018'!$H12)/('OECD total 2018'!$B12+'OECD total 2018'!$D12+'OECD total 2018'!$E12+'OECD total 2018'!$F12+'OECD total 2018'!$I12)*-1</f>
        <v>0.37676736771895902</v>
      </c>
      <c r="H104" s="77">
        <f t="shared" si="1"/>
        <v>0.37676736771895902</v>
      </c>
      <c r="I104" s="77">
        <f t="shared" si="1"/>
        <v>0.37676736771895902</v>
      </c>
    </row>
    <row r="105" spans="1:9" x14ac:dyDescent="0.35">
      <c r="A105" s="30" t="s">
        <v>163</v>
      </c>
      <c r="B105" s="40">
        <f>('OECD total 1995'!$J13+'OECD total 1995'!$K13+'OECD total 1995'!$H13)/IF(('OECD total 1995'!$B13+'OECD total 1995'!$D13+'OECD total 1995'!$E13+'OECD total 1995'!$F13+'OECD total 1995'!$I13)=0,1,('OECD total 1995'!$B13+'OECD total 1995'!$D13+'OECD total 1995'!$E13+'OECD total 1995'!$F13+'OECD total 1995'!$I13))*-1</f>
        <v>0.46651192893967458</v>
      </c>
      <c r="C105" s="40">
        <f>('OECD total 2000'!$J13+'OECD total 2000'!$K13+'OECD total 2000'!$H13)/IF(('OECD total 2000'!$B13+'OECD total 2000'!$D13+'OECD total 2000'!$E13+'OECD total 2000'!$F13+'OECD total 2000'!$I13)=0,1,('OECD total 2000'!$B13+'OECD total 2000'!$D13+'OECD total 2000'!$E13+'OECD total 2000'!$F13+'OECD total 2000'!$I13))*-1</f>
        <v>0.54480246827661405</v>
      </c>
      <c r="D105" s="40">
        <f>('OECD total 2005'!$J13+'OECD total 2005'!$K13+'OECD total 2005'!$H13)/IF(('OECD total 2005'!$B13+'OECD total 2005'!$D13+'OECD total 2005'!$E13+'OECD total 2005'!$F13+'OECD total 2005'!$I13)=0,1,('OECD total 2005'!$B13+'OECD total 2005'!$D13+'OECD total 2005'!$E13+'OECD total 2005'!$F13+'OECD total 2005'!$I13))*-1</f>
        <v>0.55538727574585234</v>
      </c>
      <c r="E105" s="40">
        <f>('OECD total 2010'!$J13+'OECD total 2010'!$K13+'OECD total 2010'!$H13)/IF(('OECD total 2010'!$B13+'OECD total 2010'!$D13+'OECD total 2010'!$E13+'OECD total 2010'!$F13+'OECD total 2010'!$I13)=0,1,('OECD total 2010'!$B13+'OECD total 2010'!$D13+'OECD total 2010'!$E13+'OECD total 2010'!$F13+'OECD total 2010'!$I13))*-1</f>
        <v>0.59838010121511453</v>
      </c>
      <c r="F105" s="40">
        <f>('OECD total 2015'!$J13+'OECD total 2015'!$K13+'OECD total 2015'!$H13)/IF(('OECD total 2015'!$B13+'OECD total 2015'!$D13+'OECD total 2015'!$E13+'OECD total 2015'!$F13+'OECD total 2015'!$I13)=0,1,('OECD total 2015'!$B13+'OECD total 2015'!$D13+'OECD total 2015'!$E13+'OECD total 2015'!$F13+'OECD total 2015'!$I13))*-1</f>
        <v>0.57782330366163881</v>
      </c>
      <c r="G105" s="40">
        <f>('OECD total 2018'!$J13+'OECD total 2018'!$K13+'OECD total 2018'!$H13)/IF(('OECD total 2018'!$B13+'OECD total 2018'!$D13+'OECD total 2018'!$E13+'OECD total 2018'!$F13+'OECD total 2018'!$I13)=0,1,('OECD total 2018'!$B13+'OECD total 2018'!$D13+'OECD total 2018'!$E13+'OECD total 2018'!$F13+'OECD total 2018'!$I13))*-1</f>
        <v>0.60676589768662148</v>
      </c>
      <c r="H105" s="77">
        <f t="shared" si="1"/>
        <v>0.60676589768662148</v>
      </c>
      <c r="I105" s="77">
        <f t="shared" si="1"/>
        <v>0.60676589768662148</v>
      </c>
    </row>
    <row r="106" spans="1:9" x14ac:dyDescent="0.35">
      <c r="A106" s="30" t="s">
        <v>178</v>
      </c>
      <c r="B106" s="40">
        <f>('OECD total 1995'!$K14+'OECD total 1995'!$H14)/IF(('OECD total 1995'!$B14+'OECD total 1995'!$D14+'OECD total 1995'!$E14+'OECD total 1995'!$I14)=0,1,('OECD total 1995'!$B14+'OECD total 1995'!$D14+'OECD total 1995'!$E14+'OECD total 1995'!$I14))*-1</f>
        <v>0.85193783758173036</v>
      </c>
      <c r="C106" s="40">
        <f>('OECD total 2000'!$K14+'OECD total 2000'!$H14)/IF(('OECD total 2000'!$B14+'OECD total 2000'!$D14+'OECD total 2000'!$E14+'OECD total 2000'!$I14)=0,1,('OECD total 2000'!$B14+'OECD total 2000'!$D14+'OECD total 2000'!$E14+'OECD total 2000'!$I14))*-1</f>
        <v>0.8423820654483638</v>
      </c>
      <c r="D106" s="40">
        <f>('OECD total 2005'!$K14+'OECD total 2005'!$H14)/IF(('OECD total 2005'!$B14+'OECD total 2005'!$D14+'OECD total 2005'!$E14+'OECD total 2005'!$I14)=0,1,('OECD total 2005'!$B14+'OECD total 2005'!$D14+'OECD total 2005'!$E14+'OECD total 2005'!$I14))*-1</f>
        <v>0.80255052935514914</v>
      </c>
      <c r="E106" s="40">
        <f>('OECD total 2010'!$K14+'OECD total 2010'!$H14)/IF(('OECD total 2010'!$B14+'OECD total 2010'!$D14+'OECD total 2010'!$E14+'OECD total 2010'!$I14)=0,1,('OECD total 2010'!$B14+'OECD total 2010'!$D14+'OECD total 2010'!$E14+'OECD total 2010'!$I14))*-1</f>
        <v>0.80519869818430967</v>
      </c>
      <c r="F106" s="40">
        <f>('OECD total 2015'!$K14+'OECD total 2015'!$H14)/IF(('OECD total 2015'!$B14+'OECD total 2015'!$D14+'OECD total 2015'!$E14+'OECD total 2015'!$I14)=0,1,('OECD total 2015'!$B14+'OECD total 2015'!$D14+'OECD total 2015'!$E14+'OECD total 2015'!$I14))*-1</f>
        <v>0.82513445502541072</v>
      </c>
      <c r="G106" s="40">
        <f>('OECD total 2018'!$K14+'OECD total 2018'!$H14)/IF(('OECD total 2018'!$B14+'OECD total 2018'!$D14+'OECD total 2018'!$E14+'OECD total 2018'!$I14)=0,1,('OECD total 2018'!$B14+'OECD total 2018'!$D14+'OECD total 2018'!$E14+'OECD total 2018'!$I14))*-1</f>
        <v>0.85442076904237085</v>
      </c>
      <c r="H106" s="77">
        <f t="shared" si="1"/>
        <v>0.85442076904237085</v>
      </c>
      <c r="I106" s="77">
        <f t="shared" si="1"/>
        <v>0.85442076904237085</v>
      </c>
    </row>
    <row r="107" spans="1:9" x14ac:dyDescent="0.35">
      <c r="A107" s="30" t="s">
        <v>170</v>
      </c>
      <c r="B107" s="40">
        <f>'OECD total 1995'!$D16/IF('OECD total 1995'!$C16=0,1,'OECD total 1995'!$C16)*-1</f>
        <v>0.99804384354923115</v>
      </c>
      <c r="C107" s="40">
        <f>'OECD total 2000'!$D16/IF('OECD total 2000'!$C16=0,1,'OECD total 2000'!$C16)*-1</f>
        <v>0.99735142170035562</v>
      </c>
      <c r="D107" s="40">
        <f>'OECD total 2005'!$D16/IF('OECD total 2005'!$C16=0,1,'OECD total 2005'!$C16)*-1</f>
        <v>0.99618992636993886</v>
      </c>
      <c r="E107" s="40">
        <f>'OECD total 2010'!$D16/IF('OECD total 2010'!$C16=0,1,'OECD total 2010'!$C16)*-1</f>
        <v>1.0028593640750827</v>
      </c>
      <c r="F107" s="40">
        <f>'OECD total 2015'!$D16/IF('OECD total 2015'!$C16=0,1,'OECD total 2015'!$C16)*-1</f>
        <v>0.98345166837631848</v>
      </c>
      <c r="G107" s="40">
        <f>'OECD total 2018'!$D16/IF('OECD total 2018'!$C16=0,1,'OECD total 2018'!$C16)*-1</f>
        <v>0.98262270060544776</v>
      </c>
      <c r="H107" s="77">
        <f t="shared" si="1"/>
        <v>0.98262270060544776</v>
      </c>
      <c r="I107" s="77">
        <f t="shared" si="1"/>
        <v>0.98262270060544776</v>
      </c>
    </row>
    <row r="108" spans="1:9" x14ac:dyDescent="0.35">
      <c r="A108" s="32" t="s">
        <v>179</v>
      </c>
      <c r="B108" s="82"/>
      <c r="C108" s="82"/>
      <c r="D108" s="82"/>
      <c r="E108" s="82"/>
      <c r="F108" s="82"/>
      <c r="G108" s="82"/>
      <c r="H108" s="42"/>
      <c r="I108" s="42"/>
    </row>
    <row r="109" spans="1:9" x14ac:dyDescent="0.35">
      <c r="A109" s="30" t="s">
        <v>141</v>
      </c>
      <c r="B109" s="40">
        <f>'OECD total 1995'!$B12/('OECD total 1995'!$L12-'OECD total 1995'!$J12-'OECD total 1995'!$G12-'OECD total 1995'!$H12)</f>
        <v>0.45542196880187752</v>
      </c>
      <c r="C109" s="40">
        <f>'OECD total 2000'!$B12/('OECD total 2000'!$L12-'OECD total 2000'!$J12-'OECD total 2000'!$G12-'OECD total 2000'!$H12)</f>
        <v>0.4517707861756361</v>
      </c>
      <c r="D109" s="40">
        <f>'OECD total 2005'!$B12/('OECD total 2005'!$L12-'OECD total 2005'!$J12-'OECD total 2005'!$G12-'OECD total 2005'!$H12)</f>
        <v>0.45383698433028846</v>
      </c>
      <c r="E109" s="40">
        <f>'OECD total 2010'!$B12/('OECD total 2010'!$L12-'OECD total 2010'!$J12-'OECD total 2010'!$G12-'OECD total 2010'!$H12)</f>
        <v>0.42882393324797013</v>
      </c>
      <c r="F109" s="40">
        <f>'OECD total 2015'!$B12/('OECD total 2015'!$L12-'OECD total 2015'!$J12-'OECD total 2015'!$G12-'OECD total 2015'!$H12)</f>
        <v>0.40100506484183074</v>
      </c>
      <c r="G109" s="40">
        <f>'OECD total 2018'!$B12/('OECD total 2018'!$L12-'OECD total 2018'!$J12-'OECD total 2018'!$G12-'OECD total 2018'!$H12)</f>
        <v>0.36359133323834331</v>
      </c>
      <c r="H109" s="89">
        <f>1-H110-H111-H112-H113-H114</f>
        <v>0.36392400225285415</v>
      </c>
      <c r="I109" s="89">
        <f>1-I110-I111-I112-I113-I114</f>
        <v>0.36392400225285415</v>
      </c>
    </row>
    <row r="110" spans="1:9" x14ac:dyDescent="0.35">
      <c r="A110" s="30" t="s">
        <v>142</v>
      </c>
      <c r="B110" s="40">
        <f>'OECD total 1995'!$C12/('OECD total 1995'!$L12-'OECD total 1995'!$J12-'OECD total 1995'!$G12-'OECD total 1995'!$H12)</f>
        <v>1.0799250603533183E-2</v>
      </c>
      <c r="C110" s="40">
        <f>'OECD total 2000'!$C12/('OECD total 2000'!$L12-'OECD total 2000'!$J12-'OECD total 2000'!$G12-'OECD total 2000'!$H12)</f>
        <v>4.3539266603492928E-3</v>
      </c>
      <c r="D110" s="40">
        <f>'OECD total 2005'!$C12/('OECD total 2005'!$L12-'OECD total 2005'!$J12-'OECD total 2005'!$G12-'OECD total 2005'!$H12)</f>
        <v>4.4444251966969418E-3</v>
      </c>
      <c r="E110" s="40">
        <f>'OECD total 2010'!$C12/('OECD total 2010'!$L12-'OECD total 2010'!$J12-'OECD total 2010'!$G12-'OECD total 2010'!$H12)</f>
        <v>2.2639321959977933E-3</v>
      </c>
      <c r="F110" s="40">
        <f>'OECD total 2015'!$C12/('OECD total 2015'!$L12-'OECD total 2015'!$J12-'OECD total 2015'!$G12-'OECD total 2015'!$H12)</f>
        <v>2.9344827772026434E-3</v>
      </c>
      <c r="G110" s="40">
        <f>'OECD total 2018'!$C12/('OECD total 2018'!$L12-'OECD total 2018'!$J12-'OECD total 2018'!$G12-'OECD total 2018'!$H12)</f>
        <v>3.0881958148525708E-4</v>
      </c>
      <c r="H110" s="77">
        <f t="shared" si="1"/>
        <v>3.0881958148525708E-4</v>
      </c>
      <c r="I110" s="77">
        <f t="shared" si="1"/>
        <v>3.0881958148525708E-4</v>
      </c>
    </row>
    <row r="111" spans="1:9" x14ac:dyDescent="0.35">
      <c r="A111" s="30" t="s">
        <v>143</v>
      </c>
      <c r="B111" s="40">
        <f>'OECD total 1995'!$D12/('OECD total 1995'!$L12-'OECD total 1995'!$J12-'OECD total 1995'!$G12-'OECD total 1995'!$H12)</f>
        <v>7.3322895588274289E-2</v>
      </c>
      <c r="C111" s="40">
        <f>'OECD total 2000'!$D12/('OECD total 2000'!$L12-'OECD total 2000'!$J12-'OECD total 2000'!$G12-'OECD total 2000'!$H12)</f>
        <v>7.6098674757404408E-2</v>
      </c>
      <c r="D111" s="40">
        <f>'OECD total 2005'!$D12/('OECD total 2005'!$L12-'OECD total 2005'!$J12-'OECD total 2005'!$G12-'OECD total 2005'!$H12)</f>
        <v>5.2218477332348814E-2</v>
      </c>
      <c r="E111" s="40">
        <f>'OECD total 2010'!$D12/('OECD total 2010'!$L12-'OECD total 2010'!$J12-'OECD total 2010'!$G12-'OECD total 2010'!$H12)</f>
        <v>2.8965401615106322E-2</v>
      </c>
      <c r="F111" s="40">
        <f>'OECD total 2015'!$D12/('OECD total 2015'!$L12-'OECD total 2015'!$J12-'OECD total 2015'!$G12-'OECD total 2015'!$H12)</f>
        <v>2.5384084337789443E-2</v>
      </c>
      <c r="G111" s="40">
        <f>'OECD total 2018'!$D12/('OECD total 2018'!$L12-'OECD total 2018'!$J12-'OECD total 2018'!$G12-'OECD total 2018'!$H12)</f>
        <v>2.2394006087109137E-2</v>
      </c>
      <c r="H111" s="77">
        <f t="shared" si="1"/>
        <v>2.2394006087109137E-2</v>
      </c>
      <c r="I111" s="77">
        <f t="shared" si="1"/>
        <v>2.2394006087109137E-2</v>
      </c>
    </row>
    <row r="112" spans="1:9" x14ac:dyDescent="0.35">
      <c r="A112" s="30" t="s">
        <v>241</v>
      </c>
      <c r="B112" s="40">
        <f>'OECD total 1995'!$E12/('OECD total 1995'!$L12-'OECD total 1995'!$J12-'OECD total 1995'!$G12-'OECD total 1995'!$H12)</f>
        <v>0.10443953383245673</v>
      </c>
      <c r="C112" s="40">
        <f>'OECD total 2000'!$E12/('OECD total 2000'!$L12-'OECD total 2000'!$J12-'OECD total 2000'!$G12-'OECD total 2000'!$H12)</f>
        <v>0.12837278880193909</v>
      </c>
      <c r="D112" s="40">
        <f>'OECD total 2005'!$E12/('OECD total 2005'!$L12-'OECD total 2005'!$J12-'OECD total 2005'!$G12-'OECD total 2005'!$H12)</f>
        <v>0.14576631959368969</v>
      </c>
      <c r="E112" s="40">
        <f>'OECD total 2010'!$E12/('OECD total 2010'!$L12-'OECD total 2010'!$J12-'OECD total 2010'!$G12-'OECD total 2010'!$H12)</f>
        <v>0.19529428652987738</v>
      </c>
      <c r="F112" s="40">
        <f>'OECD total 2015'!$E12/('OECD total 2015'!$L12-'OECD total 2015'!$J12-'OECD total 2015'!$G12-'OECD total 2015'!$H12)</f>
        <v>0.23810923748354182</v>
      </c>
      <c r="G112" s="40">
        <f>'OECD total 2018'!$E12/('OECD total 2018'!$L12-'OECD total 2018'!$J12-'OECD total 2018'!$G12-'OECD total 2018'!$H12)</f>
        <v>0.26789028526979519</v>
      </c>
      <c r="H112" s="77">
        <f t="shared" si="1"/>
        <v>0.26789028526979519</v>
      </c>
      <c r="I112" s="77">
        <f t="shared" si="1"/>
        <v>0.26789028526979519</v>
      </c>
    </row>
    <row r="113" spans="1:11" x14ac:dyDescent="0.35">
      <c r="A113" s="30" t="s">
        <v>180</v>
      </c>
      <c r="B113" s="40">
        <f>'OECD total 1995'!$F12/('OECD total 1995'!$L12-'OECD total 1995'!$J12-'OECD total 1995'!$G12-'OECD total 1995'!$H12)</f>
        <v>0.34391335248860028</v>
      </c>
      <c r="C113" s="40">
        <f>'OECD total 2000'!$F12/('OECD total 2000'!$L12-'OECD total 2000'!$J12-'OECD total 2000'!$G12-'OECD total 2000'!$H12)</f>
        <v>0.32749435513577196</v>
      </c>
      <c r="D113" s="40">
        <f>'OECD total 2005'!$F12/('OECD total 2005'!$L12-'OECD total 2005'!$J12-'OECD total 2005'!$G12-'OECD total 2005'!$H12)</f>
        <v>0.3272455715444188</v>
      </c>
      <c r="E113" s="40">
        <f>'OECD total 2010'!$F12/('OECD total 2010'!$L12-'OECD total 2010'!$J12-'OECD total 2010'!$G12-'OECD total 2010'!$H12)</f>
        <v>0.32299825273964833</v>
      </c>
      <c r="F113" s="40">
        <f>'OECD total 2015'!$F12/('OECD total 2015'!$L12-'OECD total 2015'!$J12-'OECD total 2015'!$G12-'OECD total 2015'!$H12)</f>
        <v>0.30331810308231461</v>
      </c>
      <c r="G113" s="40">
        <f>'OECD total 2018'!$F12/('OECD total 2018'!$L12-'OECD total 2018'!$J12-'OECD total 2018'!$G12-'OECD total 2018'!$H12)</f>
        <v>0.31364633981528306</v>
      </c>
      <c r="H113" s="77">
        <f t="shared" si="1"/>
        <v>0.31364633981528306</v>
      </c>
      <c r="I113" s="77">
        <f t="shared" si="1"/>
        <v>0.31364633981528306</v>
      </c>
    </row>
    <row r="114" spans="1:11" x14ac:dyDescent="0.35">
      <c r="A114" s="30" t="s">
        <v>146</v>
      </c>
      <c r="B114" s="40">
        <f>'OECD total 1995'!$I12/('OECD total 1995'!$L12-'OECD total 1995'!$J12-'OECD total 1995'!$G12-'OECD total 1995'!$H12)</f>
        <v>1.2044795645895296E-2</v>
      </c>
      <c r="C114" s="40">
        <f>'OECD total 2000'!$I12/('OECD total 2000'!$L12-'OECD total 2000'!$J12-'OECD total 2000'!$G12-'OECD total 2000'!$H12)</f>
        <v>1.1839171280505465E-2</v>
      </c>
      <c r="D114" s="40">
        <f>'OECD total 2005'!$I12/('OECD total 2005'!$L12-'OECD total 2005'!$J12-'OECD total 2005'!$G12-'OECD total 2005'!$H12)</f>
        <v>1.6318781675326348E-2</v>
      </c>
      <c r="E114" s="40">
        <f>'OECD total 2010'!$I12/('OECD total 2010'!$L12-'OECD total 2010'!$J12-'OECD total 2010'!$G12-'OECD total 2010'!$H12)</f>
        <v>2.1485439771020683E-2</v>
      </c>
      <c r="F114" s="40">
        <f>'OECD total 2015'!$I12/('OECD total 2015'!$L12-'OECD total 2015'!$J12-'OECD total 2015'!$G12-'OECD total 2015'!$H12)</f>
        <v>2.8938275271369305E-2</v>
      </c>
      <c r="G114" s="40">
        <f>'OECD total 2018'!$I12/('OECD total 2018'!$L12-'OECD total 2018'!$J12-'OECD total 2018'!$G12-'OECD total 2018'!$H12)</f>
        <v>3.1836546993473207E-2</v>
      </c>
      <c r="H114" s="77">
        <f t="shared" si="1"/>
        <v>3.1836546993473207E-2</v>
      </c>
      <c r="I114" s="77">
        <f t="shared" si="1"/>
        <v>3.1836546993473207E-2</v>
      </c>
    </row>
    <row r="115" spans="1:11" x14ac:dyDescent="0.35">
      <c r="A115" s="32" t="s">
        <v>181</v>
      </c>
      <c r="B115" s="82"/>
      <c r="C115" s="82"/>
      <c r="D115" s="82"/>
      <c r="E115" s="82"/>
      <c r="F115" s="82"/>
      <c r="G115" s="82"/>
      <c r="H115" s="42"/>
      <c r="I115" s="42"/>
    </row>
    <row r="116" spans="1:11" x14ac:dyDescent="0.35">
      <c r="A116" s="30" t="s">
        <v>141</v>
      </c>
      <c r="B116" s="40">
        <f>'OECD total 1995'!$B13/IF(('OECD total 1995'!$L13-'OECD total 1995'!$J13-'OECD total 1995'!$K13-'OECD total 1995'!$G13-'OECD total 1995'!$H13)=0,1,('OECD total 1995'!$L13-'OECD total 1995'!$J13-'OECD total 1995'!$K13-'OECD total 1995'!$G13-'OECD total 1995'!$H13))</f>
        <v>0.39561482035728124</v>
      </c>
      <c r="C116" s="40">
        <f>'OECD total 2000'!$B13/IF(('OECD total 2000'!$L13-'OECD total 2000'!$J13-'OECD total 2000'!$K13-'OECD total 2000'!$G13-'OECD total 2000'!$H13)=0,1,('OECD total 2000'!$L13-'OECD total 2000'!$J13-'OECD total 2000'!$K13-'OECD total 2000'!$G13-'OECD total 2000'!$H13))</f>
        <v>0.38574346933870701</v>
      </c>
      <c r="D116" s="40">
        <f>'OECD total 2005'!$B13/IF(('OECD total 2005'!$L13-'OECD total 2005'!$J13-'OECD total 2005'!$K13-'OECD total 2005'!$G13-'OECD total 2005'!$H13)=0,1,('OECD total 2005'!$L13-'OECD total 2005'!$J13-'OECD total 2005'!$K13-'OECD total 2005'!$G13-'OECD total 2005'!$H13))</f>
        <v>0.32664537867955701</v>
      </c>
      <c r="E116" s="40">
        <f>'OECD total 2010'!$B13/IF(('OECD total 2010'!$L13-'OECD total 2010'!$J13-'OECD total 2010'!$K13-'OECD total 2010'!$G13-'OECD total 2010'!$H13)=0,1,('OECD total 2010'!$L13-'OECD total 2010'!$J13-'OECD total 2010'!$K13-'OECD total 2010'!$G13-'OECD total 2010'!$H13))</f>
        <v>0.337056231888473</v>
      </c>
      <c r="F116" s="40">
        <f>'OECD total 2015'!$B13/IF(('OECD total 2015'!$L13-'OECD total 2015'!$J13-'OECD total 2015'!$K13-'OECD total 2015'!$G13-'OECD total 2015'!$H13)=0,1,('OECD total 2015'!$L13-'OECD total 2015'!$J13-'OECD total 2015'!$K13-'OECD total 2015'!$G13-'OECD total 2015'!$H13))</f>
        <v>0.30571030362569734</v>
      </c>
      <c r="G116" s="40">
        <f>'OECD total 2018'!$B13/IF(('OECD total 2018'!$L13-'OECD total 2018'!$J13-'OECD total 2018'!$K13-'OECD total 2018'!$G13-'OECD total 2018'!$H13)=0,1,('OECD total 2018'!$L13-'OECD total 2018'!$J13-'OECD total 2018'!$K13-'OECD total 2018'!$G13-'OECD total 2018'!$H13))</f>
        <v>0.27973924590559734</v>
      </c>
      <c r="H116" s="89">
        <f>1-H117-H118-H119-H120-H121</f>
        <v>0.27973522192265909</v>
      </c>
      <c r="I116" s="89">
        <f>1-I117-I118-I119-I120-I121</f>
        <v>0.27973522192265909</v>
      </c>
    </row>
    <row r="117" spans="1:11" x14ac:dyDescent="0.35">
      <c r="A117" s="30" t="s">
        <v>142</v>
      </c>
      <c r="B117" s="40">
        <f>'OECD total 1995'!$C13/IF(('OECD total 1995'!$L13-'OECD total 1995'!$J13-'OECD total 1995'!$K13-'OECD total 1995'!$G13-'OECD total 1995'!$H13)=0,1,('OECD total 1995'!$L13-'OECD total 1995'!$J13-'OECD total 1995'!$K13-'OECD total 1995'!$G13-'OECD total 1995'!$H13))</f>
        <v>2.1957074587247083E-3</v>
      </c>
      <c r="C117" s="40">
        <f>'OECD total 2000'!$C13/IF(('OECD total 2000'!$L13-'OECD total 2000'!$J13-'OECD total 2000'!$K13-'OECD total 2000'!$G13-'OECD total 2000'!$H13)=0,1,('OECD total 2000'!$L13-'OECD total 2000'!$J13-'OECD total 2000'!$K13-'OECD total 2000'!$G13-'OECD total 2000'!$H13))</f>
        <v>3.8407498474792479E-3</v>
      </c>
      <c r="D117" s="40">
        <f>'OECD total 2005'!$C13/IF(('OECD total 2005'!$L13-'OECD total 2005'!$J13-'OECD total 2005'!$K13-'OECD total 2005'!$G13-'OECD total 2005'!$H13)=0,1,('OECD total 2005'!$L13-'OECD total 2005'!$J13-'OECD total 2005'!$K13-'OECD total 2005'!$G13-'OECD total 2005'!$H13))</f>
        <v>2.1850214860446129E-4</v>
      </c>
      <c r="E117" s="40">
        <f>'OECD total 2010'!$C13/IF(('OECD total 2010'!$L13-'OECD total 2010'!$J13-'OECD total 2010'!$K13-'OECD total 2010'!$G13-'OECD total 2010'!$H13)=0,1,('OECD total 2010'!$L13-'OECD total 2010'!$J13-'OECD total 2010'!$K13-'OECD total 2010'!$G13-'OECD total 2010'!$H13))</f>
        <v>0</v>
      </c>
      <c r="F117" s="40">
        <f>'OECD total 2015'!$C13/IF(('OECD total 2015'!$L13-'OECD total 2015'!$J13-'OECD total 2015'!$K13-'OECD total 2015'!$G13-'OECD total 2015'!$H13)=0,1,('OECD total 2015'!$L13-'OECD total 2015'!$J13-'OECD total 2015'!$K13-'OECD total 2015'!$G13-'OECD total 2015'!$H13))</f>
        <v>0</v>
      </c>
      <c r="G117" s="40">
        <f>'OECD total 2018'!$C13/IF(('OECD total 2018'!$L13-'OECD total 2018'!$J13-'OECD total 2018'!$K13-'OECD total 2018'!$G13-'OECD total 2018'!$H13)=0,1,('OECD total 2018'!$L13-'OECD total 2018'!$J13-'OECD total 2018'!$K13-'OECD total 2018'!$G13-'OECD total 2018'!$H13))</f>
        <v>0</v>
      </c>
      <c r="H117" s="77">
        <f t="shared" si="1"/>
        <v>0</v>
      </c>
      <c r="I117" s="77">
        <f t="shared" si="1"/>
        <v>0</v>
      </c>
    </row>
    <row r="118" spans="1:11" x14ac:dyDescent="0.35">
      <c r="A118" s="30" t="s">
        <v>143</v>
      </c>
      <c r="B118" s="40">
        <f>'OECD total 1995'!$D13/IF('OECD total 1995'!$L13-'OECD total 1995'!$J13-'OECD total 1995'!$K13-'OECD total 1995'!$G13-'OECD total 1995'!$H13=0,1,('OECD total 1995'!$L13-'OECD total 1995'!$J13-'OECD total 1995'!$K13-'OECD total 1995'!$G13-'OECD total 1995'!$H13))</f>
        <v>4.6190024451184482E-2</v>
      </c>
      <c r="C118" s="40">
        <f>'OECD total 2000'!$D13/IF('OECD total 2000'!$L13-'OECD total 2000'!$J13-'OECD total 2000'!$K13-'OECD total 2000'!$G13-'OECD total 2000'!$H13=0,1,('OECD total 2000'!$L13-'OECD total 2000'!$J13-'OECD total 2000'!$K13-'OECD total 2000'!$G13-'OECD total 2000'!$H13))</f>
        <v>8.9497328575918356E-2</v>
      </c>
      <c r="D118" s="40">
        <f>'OECD total 2005'!$D13/IF('OECD total 2005'!$L13-'OECD total 2005'!$J13-'OECD total 2005'!$K13-'OECD total 2005'!$G13-'OECD total 2005'!$H13=0,1,('OECD total 2005'!$L13-'OECD total 2005'!$J13-'OECD total 2005'!$K13-'OECD total 2005'!$G13-'OECD total 2005'!$H13))</f>
        <v>7.7092924747093353E-2</v>
      </c>
      <c r="E118" s="40">
        <f>'OECD total 2010'!$D13/IF('OECD total 2010'!$L13-'OECD total 2010'!$J13-'OECD total 2010'!$K13-'OECD total 2010'!$G13-'OECD total 2010'!$H13=0,1,('OECD total 2010'!$L13-'OECD total 2010'!$J13-'OECD total 2010'!$K13-'OECD total 2010'!$G13-'OECD total 2010'!$H13))</f>
        <v>5.9598109737290038E-2</v>
      </c>
      <c r="F118" s="40">
        <f>'OECD total 2015'!$D13/IF('OECD total 2015'!$L13-'OECD total 2015'!$J13-'OECD total 2015'!$K13-'OECD total 2015'!$G13-'OECD total 2015'!$H13=0,1,('OECD total 2015'!$L13-'OECD total 2015'!$J13-'OECD total 2015'!$K13-'OECD total 2015'!$G13-'OECD total 2015'!$H13))</f>
        <v>5.1196651850786916E-2</v>
      </c>
      <c r="G118" s="40">
        <f>'OECD total 2018'!$D13/IF('OECD total 2018'!$L13-'OECD total 2018'!$J13-'OECD total 2018'!$K13-'OECD total 2018'!$G13-'OECD total 2018'!$H13=0,1,('OECD total 2018'!$L13-'OECD total 2018'!$J13-'OECD total 2018'!$K13-'OECD total 2018'!$G13-'OECD total 2018'!$H13))</f>
        <v>4.455756307593256E-2</v>
      </c>
      <c r="H118" s="77">
        <f t="shared" si="1"/>
        <v>4.455756307593256E-2</v>
      </c>
      <c r="I118" s="77">
        <f t="shared" si="1"/>
        <v>4.455756307593256E-2</v>
      </c>
    </row>
    <row r="119" spans="1:11" x14ac:dyDescent="0.35">
      <c r="A119" s="30" t="s">
        <v>241</v>
      </c>
      <c r="B119" s="40">
        <f>'OECD total 1995'!$E13/IF(('OECD total 1995'!$L13-'OECD total 1995'!$J13-'OECD total 1995'!$K13-'OECD total 1995'!$G13-'OECD total 1995'!$H13)=0,1,('OECD total 1995'!$L13-'OECD total 1995'!$J13-'OECD total 1995'!$K13-'OECD total 1995'!$G13-'OECD total 1995'!$H13))</f>
        <v>0.3531169693001795</v>
      </c>
      <c r="C119" s="40">
        <f>'OECD total 2000'!$E13/IF(('OECD total 2000'!$L13-'OECD total 2000'!$J13-'OECD total 2000'!$K13-'OECD total 2000'!$G13-'OECD total 2000'!$H13)=0,1,('OECD total 2000'!$L13-'OECD total 2000'!$J13-'OECD total 2000'!$K13-'OECD total 2000'!$G13-'OECD total 2000'!$H13))</f>
        <v>0.39245900427058106</v>
      </c>
      <c r="D119" s="40">
        <f>'OECD total 2005'!$E13/IF(('OECD total 2005'!$L13-'OECD total 2005'!$J13-'OECD total 2005'!$K13-'OECD total 2005'!$G13-'OECD total 2005'!$H13)=0,1,('OECD total 2005'!$L13-'OECD total 2005'!$J13-'OECD total 2005'!$K13-'OECD total 2005'!$G13-'OECD total 2005'!$H13))</f>
        <v>0.44510037682037207</v>
      </c>
      <c r="E119" s="40">
        <f>'OECD total 2010'!$E13/IF(('OECD total 2010'!$L13-'OECD total 2010'!$J13-'OECD total 2010'!$K13-'OECD total 2010'!$G13-'OECD total 2010'!$H13)=0,1,('OECD total 2010'!$L13-'OECD total 2010'!$J13-'OECD total 2010'!$K13-'OECD total 2010'!$G13-'OECD total 2010'!$H13))</f>
        <v>0.44897928098427703</v>
      </c>
      <c r="F119" s="40">
        <f>'OECD total 2015'!$E13/IF(('OECD total 2015'!$L13-'OECD total 2015'!$J13-'OECD total 2015'!$K13-'OECD total 2015'!$G13-'OECD total 2015'!$H13)=0,1,('OECD total 2015'!$L13-'OECD total 2015'!$J13-'OECD total 2015'!$K13-'OECD total 2015'!$G13-'OECD total 2015'!$H13))</f>
        <v>0.42999996006501418</v>
      </c>
      <c r="G119" s="40">
        <f>'OECD total 2018'!$E13/IF(('OECD total 2018'!$L13-'OECD total 2018'!$J13-'OECD total 2018'!$K13-'OECD total 2018'!$G13-'OECD total 2018'!$H13)=0,1,('OECD total 2018'!$L13-'OECD total 2018'!$J13-'OECD total 2018'!$K13-'OECD total 2018'!$G13-'OECD total 2018'!$H13))</f>
        <v>0.46165949056375999</v>
      </c>
      <c r="H119" s="77">
        <f t="shared" si="1"/>
        <v>0.46165949056375999</v>
      </c>
      <c r="I119" s="77">
        <f t="shared" si="1"/>
        <v>0.46165949056375999</v>
      </c>
    </row>
    <row r="120" spans="1:11" x14ac:dyDescent="0.35">
      <c r="A120" s="30" t="s">
        <v>180</v>
      </c>
      <c r="B120" s="40">
        <f>'OECD total 1995'!$F13/IF(('OECD total 1995'!$L13-'OECD total 1995'!$J13-'OECD total 1995'!$K13-'OECD total 1995'!$G13-'OECD total 1995'!$H13)=0,1,('OECD total 1995'!$L13-'OECD total 1995'!$J13-'OECD total 1995'!$K13-'OECD total 1995'!$G13-'OECD total 1995'!$H13))</f>
        <v>3.0757719492804939E-2</v>
      </c>
      <c r="C120" s="40">
        <f>'OECD total 2000'!$F13/IF(('OECD total 2000'!$L13-'OECD total 2000'!$J13-'OECD total 2000'!$K13-'OECD total 2000'!$G13-'OECD total 2000'!$H13)=0,1,('OECD total 2000'!$L13-'OECD total 2000'!$J13-'OECD total 2000'!$K13-'OECD total 2000'!$G13-'OECD total 2000'!$H13))</f>
        <v>2.7643230851712854E-2</v>
      </c>
      <c r="D120" s="40">
        <f>'OECD total 2005'!$F13/IF(('OECD total 2005'!$L13-'OECD total 2005'!$J13-'OECD total 2005'!$K13-'OECD total 2005'!$G13-'OECD total 2005'!$H13)=0,1,('OECD total 2005'!$L13-'OECD total 2005'!$J13-'OECD total 2005'!$K13-'OECD total 2005'!$G13-'OECD total 2005'!$H13))</f>
        <v>4.2492917847025496E-2</v>
      </c>
      <c r="E120" s="40">
        <f>'OECD total 2010'!$F13/IF(('OECD total 2010'!$L13-'OECD total 2010'!$J13-'OECD total 2010'!$K13-'OECD total 2010'!$G13-'OECD total 2010'!$H13)=0,1,('OECD total 2010'!$L13-'OECD total 2010'!$J13-'OECD total 2010'!$K13-'OECD total 2010'!$G13-'OECD total 2010'!$H13))</f>
        <v>2.6149141880133581E-2</v>
      </c>
      <c r="F120" s="40">
        <f>'OECD total 2015'!$F13/IF(('OECD total 2015'!$L13-'OECD total 2015'!$J13-'OECD total 2015'!$K13-'OECD total 2015'!$G13-'OECD total 2015'!$H13)=0,1,('OECD total 2015'!$L13-'OECD total 2015'!$J13-'OECD total 2015'!$K13-'OECD total 2015'!$G13-'OECD total 2015'!$H13))</f>
        <v>2.8257995982540425E-2</v>
      </c>
      <c r="G120" s="40">
        <f>'OECD total 2018'!$F13/IF(('OECD total 2018'!$L13-'OECD total 2018'!$J13-'OECD total 2018'!$K13-'OECD total 2018'!$G13-'OECD total 2018'!$H13)=0,1,('OECD total 2018'!$L13-'OECD total 2018'!$J13-'OECD total 2018'!$K13-'OECD total 2018'!$G13-'OECD total 2018'!$H13))</f>
        <v>1.1729910265180476E-2</v>
      </c>
      <c r="H120" s="77">
        <f t="shared" si="1"/>
        <v>1.1729910265180476E-2</v>
      </c>
      <c r="I120" s="77">
        <f t="shared" si="1"/>
        <v>1.1729910265180476E-2</v>
      </c>
    </row>
    <row r="121" spans="1:11" x14ac:dyDescent="0.35">
      <c r="A121" s="30" t="s">
        <v>146</v>
      </c>
      <c r="B121" s="40">
        <f>'OECD total 1995'!$I13/IF(('OECD total 1995'!$L13-'OECD total 1995'!$J13-'OECD total 1995'!$K13-'OECD total 1995'!$G13-'OECD total 1995'!$H13)=0,1,('OECD total 1995'!$L13-'OECD total 1995'!$J13-'OECD total 1995'!$K13-'OECD total 1995'!$G13-'OECD total 1995'!$H13))</f>
        <v>0.1721203051721604</v>
      </c>
      <c r="C121" s="40">
        <f>'OECD total 2000'!$I13/IF(('OECD total 2000'!$L13-'OECD total 2000'!$J13-'OECD total 2000'!$K13-'OECD total 2000'!$G13-'OECD total 2000'!$H13)=0,1,('OECD total 2000'!$L13-'OECD total 2000'!$J13-'OECD total 2000'!$K13-'OECD total 2000'!$G13-'OECD total 2000'!$H13))</f>
        <v>0.10082546079754488</v>
      </c>
      <c r="D121" s="40">
        <f>'OECD total 2005'!$I13/IF(('OECD total 2005'!$L13-'OECD total 2005'!$J13-'OECD total 2005'!$K13-'OECD total 2005'!$G13-'OECD total 2005'!$H13)=0,1,('OECD total 2005'!$L13-'OECD total 2005'!$J13-'OECD total 2005'!$K13-'OECD total 2005'!$G13-'OECD total 2005'!$H13))</f>
        <v>0.10844606638631947</v>
      </c>
      <c r="E121" s="40">
        <f>'OECD total 2010'!$I13/IF(('OECD total 2010'!$L13-'OECD total 2010'!$J13-'OECD total 2010'!$K13-'OECD total 2010'!$G13-'OECD total 2010'!$H13)=0,1,('OECD total 2010'!$L13-'OECD total 2010'!$J13-'OECD total 2010'!$K13-'OECD total 2010'!$G13-'OECD total 2010'!$H13))</f>
        <v>0.12821723550982639</v>
      </c>
      <c r="F121" s="40">
        <f>'OECD total 2015'!$I13/IF(('OECD total 2015'!$L13-'OECD total 2015'!$J13-'OECD total 2015'!$K13-'OECD total 2015'!$G13-'OECD total 2015'!$H13)=0,1,('OECD total 2015'!$L13-'OECD total 2015'!$J13-'OECD total 2015'!$K13-'OECD total 2015'!$G13-'OECD total 2015'!$H13))</f>
        <v>0.18483508847596114</v>
      </c>
      <c r="G121" s="40">
        <f>'OECD total 2018'!$I13/IF(('OECD total 2018'!$L13-'OECD total 2018'!$J13-'OECD total 2018'!$K13-'OECD total 2018'!$G13-'OECD total 2018'!$H13)=0,1,('OECD total 2018'!$L13-'OECD total 2018'!$J13-'OECD total 2018'!$K13-'OECD total 2018'!$G13-'OECD total 2018'!$H13))</f>
        <v>0.20231781417246791</v>
      </c>
      <c r="H121" s="77">
        <f t="shared" si="1"/>
        <v>0.20231781417246791</v>
      </c>
      <c r="I121" s="77">
        <f t="shared" si="1"/>
        <v>0.20231781417246791</v>
      </c>
    </row>
    <row r="122" spans="1:11" x14ac:dyDescent="0.35">
      <c r="A122" s="32" t="s">
        <v>182</v>
      </c>
      <c r="B122" s="82"/>
      <c r="C122" s="82"/>
      <c r="D122" s="82"/>
      <c r="E122" s="82"/>
      <c r="F122" s="82"/>
      <c r="G122" s="82"/>
      <c r="H122" s="42"/>
      <c r="I122" s="42"/>
    </row>
    <row r="123" spans="1:11" x14ac:dyDescent="0.35">
      <c r="A123" s="30" t="s">
        <v>141</v>
      </c>
      <c r="B123" s="40">
        <f>'OECD total 1995'!$B14/IF(('OECD total 1995'!$L14-'OECD total 1995'!$J14-'OECD total 1995'!$K14-'OECD total 1995'!$G14-'OECD total 1995'!$H14)=0,1,('OECD total 1995'!$L14-'OECD total 1995'!$J14-'OECD total 1995'!$K14-'OECD total 1995'!$G14-'OECD total 1995'!$H14))</f>
        <v>0.36830885836096638</v>
      </c>
      <c r="C123" s="40">
        <f>'OECD total 2000'!$B14/IF(('OECD total 2000'!$L14-'OECD total 2000'!$J14-'OECD total 2000'!$K14-'OECD total 2000'!$G14-'OECD total 2000'!$H14)=0,1,('OECD total 2000'!$L14-'OECD total 2000'!$J14-'OECD total 2000'!$K14-'OECD total 2000'!$G14-'OECD total 2000'!$H14))</f>
        <v>0.27250996015936257</v>
      </c>
      <c r="D123" s="40">
        <f>'OECD total 2005'!$B14/IF(('OECD total 2005'!$L14-'OECD total 2005'!$J14-'OECD total 2005'!$K14-'OECD total 2005'!$G14-'OECD total 2005'!$H14)=0,1,('OECD total 2005'!$L14-'OECD total 2005'!$J14-'OECD total 2005'!$K14-'OECD total 2005'!$G14-'OECD total 2005'!$H14))</f>
        <v>0.21823869104908566</v>
      </c>
      <c r="E123" s="40">
        <f>'OECD total 2010'!$B14/IF(('OECD total 2010'!$L14-'OECD total 2010'!$J14-'OECD total 2010'!$K14-'OECD total 2010'!$G14-'OECD total 2010'!$H14)=0,1,('OECD total 2010'!$L14-'OECD total 2010'!$J14-'OECD total 2010'!$K14-'OECD total 2010'!$G14-'OECD total 2010'!$H14))</f>
        <v>0.23265673175745119</v>
      </c>
      <c r="F123" s="40">
        <f>'OECD total 2015'!$B14/IF(('OECD total 2015'!$L14-'OECD total 2015'!$J14-'OECD total 2015'!$K14-'OECD total 2015'!$G14-'OECD total 2015'!$H14)=0,1,('OECD total 2015'!$L14-'OECD total 2015'!$J14-'OECD total 2015'!$K14-'OECD total 2015'!$G14-'OECD total 2015'!$H14))</f>
        <v>0.17855733175448985</v>
      </c>
      <c r="G123" s="40">
        <f>'OECD total 2018'!$B14/IF(('OECD total 2018'!$L14-'OECD total 2018'!$J14-'OECD total 2018'!$K14-'OECD total 2018'!$G14-'OECD total 2018'!$H14)=0,1,('OECD total 2018'!$L14-'OECD total 2018'!$J14-'OECD total 2018'!$K14-'OECD total 2018'!$G14-'OECD total 2018'!$H14))</f>
        <v>0.17002204261572373</v>
      </c>
      <c r="H123" s="77">
        <f t="shared" si="1"/>
        <v>0.17002204261572373</v>
      </c>
      <c r="I123" s="77">
        <f t="shared" si="1"/>
        <v>0.17002204261572373</v>
      </c>
    </row>
    <row r="124" spans="1:11" x14ac:dyDescent="0.35">
      <c r="A124" s="30" t="s">
        <v>142</v>
      </c>
      <c r="B124" s="40">
        <f>'OECD total 1995'!$C14/IF(('OECD total 1995'!$L14-'OECD total 1995'!$J14-'OECD total 1995'!$K14-'OECD total 1995'!$G14-'OECD total 1995'!$H14)=0,1,('OECD total 1995'!$L14-'OECD total 1995'!$J14-'OECD total 1995'!$K14-'OECD total 1995'!$G14-'OECD total 1995'!$H14))</f>
        <v>1.8948365703458077E-4</v>
      </c>
      <c r="C124" s="40">
        <f>'OECD total 2000'!$C14/IF(('OECD total 2000'!$L14-'OECD total 2000'!$J14-'OECD total 2000'!$K14-'OECD total 2000'!$G14-'OECD total 2000'!$H14)=0,1,('OECD total 2000'!$L14-'OECD total 2000'!$J14-'OECD total 2000'!$K14-'OECD total 2000'!$G14-'OECD total 2000'!$H14))</f>
        <v>1.0624169986719787E-4</v>
      </c>
      <c r="D124" s="40">
        <f>'OECD total 2005'!$C14/IF(('OECD total 2005'!$L14-'OECD total 2005'!$J14-'OECD total 2005'!$K14-'OECD total 2005'!$G14-'OECD total 2005'!$H14)=0,1,('OECD total 2005'!$L14-'OECD total 2005'!$J14-'OECD total 2005'!$K14-'OECD total 2005'!$G14-'OECD total 2005'!$H14))</f>
        <v>0</v>
      </c>
      <c r="E124" s="40">
        <f>'OECD total 2010'!$C14/IF(('OECD total 2010'!$L14-'OECD total 2010'!$J14-'OECD total 2010'!$K14-'OECD total 2010'!$G14-'OECD total 2010'!$H14)=0,1,('OECD total 2010'!$L14-'OECD total 2010'!$J14-'OECD total 2010'!$K14-'OECD total 2010'!$G14-'OECD total 2010'!$H14))</f>
        <v>0</v>
      </c>
      <c r="F124" s="40">
        <f>'OECD total 2015'!$C14/IF(('OECD total 2015'!$L14-'OECD total 2015'!$J14-'OECD total 2015'!$K14-'OECD total 2015'!$G14-'OECD total 2015'!$H14)=0,1,('OECD total 2015'!$L14-'OECD total 2015'!$J14-'OECD total 2015'!$K14-'OECD total 2015'!$G14-'OECD total 2015'!$H14))</f>
        <v>0</v>
      </c>
      <c r="G124" s="40">
        <f>'OECD total 2018'!$C14/IF(('OECD total 2018'!$L14-'OECD total 2018'!$J14-'OECD total 2018'!$K14-'OECD total 2018'!$G14-'OECD total 2018'!$H14)=0,1,('OECD total 2018'!$L14-'OECD total 2018'!$J14-'OECD total 2018'!$K14-'OECD total 2018'!$G14-'OECD total 2018'!$H14))</f>
        <v>0</v>
      </c>
      <c r="H124" s="77">
        <f t="shared" si="1"/>
        <v>0</v>
      </c>
      <c r="I124" s="77">
        <f t="shared" si="1"/>
        <v>0</v>
      </c>
    </row>
    <row r="125" spans="1:11" x14ac:dyDescent="0.35">
      <c r="A125" s="30" t="s">
        <v>143</v>
      </c>
      <c r="B125" s="40">
        <f>'OECD total 1995'!$D14/IF(('OECD total 1995'!$L14-'OECD total 1995'!$J14-'OECD total 1995'!$K14-'OECD total 1995'!$G14-'OECD total 1995'!$H14)=0,1,('OECD total 1995'!$L14-'OECD total 1995'!$J14-'OECD total 1995'!$K14-'OECD total 1995'!$G14-'OECD total 1995'!$H14))</f>
        <v>0.18507816200852675</v>
      </c>
      <c r="C125" s="40">
        <f>'OECD total 2000'!$D14/IF(('OECD total 2000'!$L14-'OECD total 2000'!$J14-'OECD total 2000'!$K14-'OECD total 2000'!$G14-'OECD total 2000'!$H14)=0,1,('OECD total 2000'!$L14-'OECD total 2000'!$J14-'OECD total 2000'!$K14-'OECD total 2000'!$G14-'OECD total 2000'!$H14))</f>
        <v>0.17837981407702524</v>
      </c>
      <c r="D125" s="40">
        <f>'OECD total 2005'!$D14/IF(('OECD total 2005'!$L14-'OECD total 2005'!$J14-'OECD total 2005'!$K14-'OECD total 2005'!$G14-'OECD total 2005'!$H14)=0,1,('OECD total 2005'!$L14-'OECD total 2005'!$J14-'OECD total 2005'!$K14-'OECD total 2005'!$G14-'OECD total 2005'!$H14))</f>
        <v>0.13306063522617903</v>
      </c>
      <c r="E125" s="40">
        <f>'OECD total 2010'!$D14/IF(('OECD total 2010'!$L14-'OECD total 2010'!$J14-'OECD total 2010'!$K14-'OECD total 2010'!$G14-'OECD total 2010'!$H14)=0,1,('OECD total 2010'!$L14-'OECD total 2010'!$J14-'OECD total 2010'!$K14-'OECD total 2010'!$G14-'OECD total 2010'!$H14))</f>
        <v>8.7615621788283665E-2</v>
      </c>
      <c r="F125" s="40">
        <f>'OECD total 2015'!$D14/IF(('OECD total 2015'!$L14-'OECD total 2015'!$J14-'OECD total 2015'!$K14-'OECD total 2015'!$G14-'OECD total 2015'!$H14)=0,1,('OECD total 2015'!$L14-'OECD total 2015'!$J14-'OECD total 2015'!$K14-'OECD total 2015'!$G14-'OECD total 2015'!$H14))</f>
        <v>5.0029603315571346E-2</v>
      </c>
      <c r="G125" s="40">
        <f>'OECD total 2018'!$D14/IF(('OECD total 2018'!$L14-'OECD total 2018'!$J14-'OECD total 2018'!$K14-'OECD total 2018'!$G14-'OECD total 2018'!$H14)=0,1,('OECD total 2018'!$L14-'OECD total 2018'!$J14-'OECD total 2018'!$K14-'OECD total 2018'!$G14-'OECD total 2018'!$H14))</f>
        <v>4.3007592456527063E-2</v>
      </c>
      <c r="H125" s="77">
        <f t="shared" si="1"/>
        <v>4.3007592456527063E-2</v>
      </c>
      <c r="I125" s="77">
        <f t="shared" si="1"/>
        <v>4.3007592456527063E-2</v>
      </c>
    </row>
    <row r="126" spans="1:11" x14ac:dyDescent="0.35">
      <c r="A126" s="30" t="s">
        <v>241</v>
      </c>
      <c r="B126" s="40">
        <f>'OECD total 1995'!$E14/IF(('OECD total 1995'!$L14-'OECD total 1995'!$J14-'OECD total 1995'!$K14-'OECD total 1995'!$G14-'OECD total 1995'!$H14)=0,1,('OECD total 1995'!$L14-'OECD total 1995'!$J14-'OECD total 1995'!$K14-'OECD total 1995'!$G14-'OECD total 1995'!$H14))</f>
        <v>0.33590715300805307</v>
      </c>
      <c r="C126" s="40">
        <f>'OECD total 2000'!$E14/IF(('OECD total 2000'!$L14-'OECD total 2000'!$J14-'OECD total 2000'!$K14-'OECD total 2000'!$G14-'OECD total 2000'!$H14)=0,1,('OECD total 2000'!$L14-'OECD total 2000'!$J14-'OECD total 2000'!$K14-'OECD total 2000'!$G14-'OECD total 2000'!$H14))</f>
        <v>0.39229747675962817</v>
      </c>
      <c r="D126" s="40">
        <f>'OECD total 2005'!$E14/IF(('OECD total 2005'!$L14-'OECD total 2005'!$J14-'OECD total 2005'!$K14-'OECD total 2005'!$G14-'OECD total 2005'!$H14)=0,1,('OECD total 2005'!$L14-'OECD total 2005'!$J14-'OECD total 2005'!$K14-'OECD total 2005'!$G14-'OECD total 2005'!$H14))</f>
        <v>0.44355149181905679</v>
      </c>
      <c r="E126" s="40">
        <f>'OECD total 2010'!$E14/IF(('OECD total 2010'!$L14-'OECD total 2010'!$J14-'OECD total 2010'!$K14-'OECD total 2010'!$G14-'OECD total 2010'!$H14)=0,1,('OECD total 2010'!$L14-'OECD total 2010'!$J14-'OECD total 2010'!$K14-'OECD total 2010'!$G14-'OECD total 2010'!$H14))</f>
        <v>0.40536142514559781</v>
      </c>
      <c r="F126" s="40">
        <f>'OECD total 2015'!$E14/IF(('OECD total 2015'!$L14-'OECD total 2015'!$J14-'OECD total 2015'!$K14-'OECD total 2015'!$G14-'OECD total 2015'!$H14)=0,1,('OECD total 2015'!$L14-'OECD total 2015'!$J14-'OECD total 2015'!$K14-'OECD total 2015'!$G14-'OECD total 2015'!$H14))</f>
        <v>0.41844286560094729</v>
      </c>
      <c r="G126" s="40">
        <f>'OECD total 2018'!$E14/IF(('OECD total 2018'!$L14-'OECD total 2018'!$J14-'OECD total 2018'!$K14-'OECD total 2018'!$G14-'OECD total 2018'!$H14)=0,1,('OECD total 2018'!$L14-'OECD total 2018'!$J14-'OECD total 2018'!$K14-'OECD total 2018'!$G14-'OECD total 2018'!$H14))</f>
        <v>0.41449914278716632</v>
      </c>
      <c r="H126" s="89">
        <f>1-H123-H124-H125-H127-H128</f>
        <v>0.41449914278716626</v>
      </c>
      <c r="I126" s="89">
        <f>1-I123-I124-I125-I127-I128</f>
        <v>0.41449914278716626</v>
      </c>
    </row>
    <row r="127" spans="1:11" x14ac:dyDescent="0.35">
      <c r="A127" s="30" t="s">
        <v>180</v>
      </c>
      <c r="B127" s="40">
        <f>'OECD total 1995'!$F14/IF(('OECD total 1995'!$L14-'OECD total 1995'!$J14-'OECD total 1995'!$K14-'OECD total 1995'!$G14-'OECD total 1995'!$H14)=0,1,('OECD total 1995'!$L14-'OECD total 1995'!$J14-'OECD total 1995'!$K14-'OECD total 1995'!$G14-'OECD total 1995'!$H14))</f>
        <v>0</v>
      </c>
      <c r="C127" s="40">
        <f>'OECD total 2000'!$F14/IF(('OECD total 2000'!$L14-'OECD total 2000'!$J14-'OECD total 2000'!$K14-'OECD total 2000'!$G14-'OECD total 2000'!$H14)=0,1,('OECD total 2000'!$L14-'OECD total 2000'!$J14-'OECD total 2000'!$K14-'OECD total 2000'!$G14-'OECD total 2000'!$H14))</f>
        <v>0</v>
      </c>
      <c r="D127" s="40">
        <f>'OECD total 2005'!$F14/IF(('OECD total 2005'!$L14-'OECD total 2005'!$J14-'OECD total 2005'!$K14-'OECD total 2005'!$G14-'OECD total 2005'!$H14)=0,1,('OECD total 2005'!$L14-'OECD total 2005'!$J14-'OECD total 2005'!$K14-'OECD total 2005'!$G14-'OECD total 2005'!$H14))</f>
        <v>0</v>
      </c>
      <c r="E127" s="40">
        <f>'OECD total 2010'!$F14/IF(('OECD total 2010'!$L14-'OECD total 2010'!$J14-'OECD total 2010'!$K14-'OECD total 2010'!$G14-'OECD total 2010'!$H14)=0,1,('OECD total 2010'!$L14-'OECD total 2010'!$J14-'OECD total 2010'!$K14-'OECD total 2010'!$G14-'OECD total 2010'!$H14))</f>
        <v>0</v>
      </c>
      <c r="F127" s="40">
        <f>'OECD total 2015'!$F14/IF(('OECD total 2015'!$L14-'OECD total 2015'!$J14-'OECD total 2015'!$K14-'OECD total 2015'!$G14-'OECD total 2015'!$H14)=0,1,('OECD total 2015'!$L14-'OECD total 2015'!$J14-'OECD total 2015'!$K14-'OECD total 2015'!$G14-'OECD total 2015'!$H14))</f>
        <v>0</v>
      </c>
      <c r="G127" s="40">
        <f>'OECD total 2018'!$F14/IF(('OECD total 2018'!$L14-'OECD total 2018'!$J14-'OECD total 2018'!$K14-'OECD total 2018'!$G14-'OECD total 2018'!$H14)=0,1,('OECD total 2018'!$L14-'OECD total 2018'!$J14-'OECD total 2018'!$K14-'OECD total 2018'!$G14-'OECD total 2018'!$H14))</f>
        <v>0</v>
      </c>
      <c r="H127" s="77">
        <f t="shared" si="1"/>
        <v>0</v>
      </c>
      <c r="I127" s="77">
        <f t="shared" si="1"/>
        <v>0</v>
      </c>
      <c r="K127" s="7"/>
    </row>
    <row r="128" spans="1:11" x14ac:dyDescent="0.35">
      <c r="A128" s="30" t="s">
        <v>146</v>
      </c>
      <c r="B128" s="40">
        <f>'OECD total 1995'!$I14/IF(('OECD total 1995'!$L14-'OECD total 1995'!$J14-'OECD total 1995'!$K14-'OECD total 1995'!$G14-'OECD total 1995'!$H14)=0,1,('OECD total 1995'!$L14-'OECD total 1995'!$J14-'OECD total 1995'!$K14-'OECD total 1995'!$G14-'OECD total 1995'!$H14))</f>
        <v>0.11051634296541923</v>
      </c>
      <c r="C128" s="40">
        <f>'OECD total 2000'!$I14/IF(('OECD total 2000'!$L14-'OECD total 2000'!$J14-'OECD total 2000'!$K14-'OECD total 2000'!$G14-'OECD total 2000'!$H14)=0,1,('OECD total 2000'!$L14-'OECD total 2000'!$J14-'OECD total 2000'!$K14-'OECD total 2000'!$G14-'OECD total 2000'!$H14))</f>
        <v>0.15675962815405045</v>
      </c>
      <c r="D128" s="40">
        <f>'OECD total 2005'!$I14/IF(('OECD total 2005'!$L14-'OECD total 2005'!$J14-'OECD total 2005'!$K14-'OECD total 2005'!$G14-'OECD total 2005'!$H14)=0,1,('OECD total 2005'!$L14-'OECD total 2005'!$J14-'OECD total 2005'!$K14-'OECD total 2005'!$G14-'OECD total 2005'!$H14))</f>
        <v>0.20514918190567855</v>
      </c>
      <c r="E128" s="40">
        <f>'OECD total 2010'!$I14/IF(('OECD total 2010'!$L14-'OECD total 2010'!$J14-'OECD total 2010'!$K14-'OECD total 2010'!$G14-'OECD total 2010'!$H14)=0,1,('OECD total 2010'!$L14-'OECD total 2010'!$J14-'OECD total 2010'!$K14-'OECD total 2010'!$G14-'OECD total 2010'!$H14))</f>
        <v>0.27436622130866734</v>
      </c>
      <c r="F128" s="40">
        <f>'OECD total 2015'!$I14/IF(('OECD total 2015'!$L14-'OECD total 2015'!$J14-'OECD total 2015'!$K14-'OECD total 2015'!$G14-'OECD total 2015'!$H14)=0,1,('OECD total 2015'!$L14-'OECD total 2015'!$J14-'OECD total 2015'!$K14-'OECD total 2015'!$G14-'OECD total 2015'!$H14))</f>
        <v>0.35292086046970594</v>
      </c>
      <c r="G128" s="40">
        <f>'OECD total 2018'!$I14/IF(('OECD total 2018'!$L14-'OECD total 2018'!$J14-'OECD total 2018'!$K14-'OECD total 2018'!$G14-'OECD total 2018'!$H14)=0,1,('OECD total 2018'!$L14-'OECD total 2018'!$J14-'OECD total 2018'!$K14-'OECD total 2018'!$G14-'OECD total 2018'!$H14))</f>
        <v>0.37247122214058292</v>
      </c>
      <c r="H128" s="77">
        <f t="shared" si="1"/>
        <v>0.37247122214058292</v>
      </c>
      <c r="I128" s="77">
        <f t="shared" si="1"/>
        <v>0.37247122214058292</v>
      </c>
    </row>
    <row r="129" spans="1:9" x14ac:dyDescent="0.35">
      <c r="A129" s="32" t="s">
        <v>183</v>
      </c>
      <c r="B129" s="82"/>
      <c r="C129" s="82"/>
      <c r="D129" s="82"/>
      <c r="E129" s="82"/>
      <c r="F129" s="82"/>
      <c r="G129" s="82"/>
      <c r="H129" s="42"/>
      <c r="I129" s="42"/>
    </row>
    <row r="130" spans="1:9" x14ac:dyDescent="0.35">
      <c r="A130" s="30" t="s">
        <v>142</v>
      </c>
      <c r="B130" s="40">
        <v>1</v>
      </c>
      <c r="C130" s="40">
        <v>1</v>
      </c>
      <c r="D130" s="40">
        <v>1</v>
      </c>
      <c r="E130" s="40">
        <v>1</v>
      </c>
      <c r="F130" s="40">
        <v>1</v>
      </c>
      <c r="G130" s="40">
        <v>1</v>
      </c>
      <c r="H130" s="89">
        <f>1-H131</f>
        <v>1</v>
      </c>
      <c r="I130" s="89">
        <f>1-I131</f>
        <v>1</v>
      </c>
    </row>
    <row r="131" spans="1:9" x14ac:dyDescent="0.35">
      <c r="A131" s="30" t="s">
        <v>146</v>
      </c>
      <c r="B131" s="40">
        <v>0</v>
      </c>
      <c r="C131" s="40">
        <v>0</v>
      </c>
      <c r="D131" s="40">
        <v>0</v>
      </c>
      <c r="E131" s="40">
        <v>0</v>
      </c>
      <c r="F131" s="40">
        <v>0</v>
      </c>
      <c r="G131" s="40">
        <v>0</v>
      </c>
      <c r="H131" s="77">
        <f t="shared" si="1"/>
        <v>0</v>
      </c>
      <c r="I131" s="77">
        <f t="shared" si="1"/>
        <v>0</v>
      </c>
    </row>
    <row r="132" spans="1:9" x14ac:dyDescent="0.35">
      <c r="A132" s="30"/>
      <c r="B132" s="40">
        <v>0</v>
      </c>
      <c r="C132" s="40">
        <v>0</v>
      </c>
      <c r="D132" s="40">
        <v>0</v>
      </c>
      <c r="E132" s="40">
        <v>0</v>
      </c>
      <c r="F132" s="40">
        <v>0</v>
      </c>
      <c r="G132" s="40">
        <v>0</v>
      </c>
      <c r="H132" s="77">
        <f t="shared" si="1"/>
        <v>0</v>
      </c>
      <c r="I132" s="77">
        <f t="shared" si="1"/>
        <v>0</v>
      </c>
    </row>
    <row r="133" spans="1:9" x14ac:dyDescent="0.35">
      <c r="A133" s="32" t="s">
        <v>184</v>
      </c>
      <c r="B133" s="42"/>
      <c r="C133" s="42"/>
      <c r="D133" s="42"/>
      <c r="E133" s="42"/>
      <c r="F133" s="42"/>
      <c r="G133" s="42"/>
      <c r="H133" s="42"/>
      <c r="I133" s="42"/>
    </row>
    <row r="134" spans="1:9" x14ac:dyDescent="0.35">
      <c r="A134" s="30" t="s">
        <v>185</v>
      </c>
      <c r="H134" s="77">
        <v>0</v>
      </c>
      <c r="I134" s="77">
        <v>0</v>
      </c>
    </row>
    <row r="135" spans="1:9" x14ac:dyDescent="0.35">
      <c r="A135" s="30" t="s">
        <v>186</v>
      </c>
      <c r="H135" s="77">
        <v>0</v>
      </c>
      <c r="I135" s="77">
        <v>0</v>
      </c>
    </row>
    <row r="136" spans="1:9" x14ac:dyDescent="0.35">
      <c r="A136" s="30" t="s">
        <v>245</v>
      </c>
      <c r="H136" s="77">
        <v>0</v>
      </c>
      <c r="I136" s="77">
        <v>0</v>
      </c>
    </row>
    <row r="137" spans="1:9" x14ac:dyDescent="0.35">
      <c r="A137" s="30" t="s">
        <v>188</v>
      </c>
      <c r="H137" s="77">
        <v>0</v>
      </c>
      <c r="I137" s="77">
        <v>0</v>
      </c>
    </row>
    <row r="138" spans="1:9" x14ac:dyDescent="0.35">
      <c r="A138" s="32" t="s">
        <v>189</v>
      </c>
      <c r="B138" s="42"/>
      <c r="C138" s="42"/>
      <c r="D138" s="42"/>
      <c r="E138" s="42"/>
      <c r="F138" s="42"/>
      <c r="G138" s="42"/>
      <c r="H138" s="42"/>
      <c r="I138" s="42"/>
    </row>
    <row r="139" spans="1:9" x14ac:dyDescent="0.35">
      <c r="A139" s="30" t="s">
        <v>190</v>
      </c>
      <c r="G139" s="94">
        <v>0.8</v>
      </c>
      <c r="H139" s="93">
        <f>G139</f>
        <v>0.8</v>
      </c>
      <c r="I139" s="77">
        <f t="shared" ref="I139:I142" si="5">H139</f>
        <v>0.8</v>
      </c>
    </row>
    <row r="140" spans="1:9" x14ac:dyDescent="0.35">
      <c r="A140" s="30" t="s">
        <v>191</v>
      </c>
      <c r="G140" s="94">
        <v>0.3</v>
      </c>
      <c r="H140" s="93">
        <f t="shared" ref="H140:H142" si="6">G140</f>
        <v>0.3</v>
      </c>
      <c r="I140" s="77">
        <f t="shared" si="5"/>
        <v>0.3</v>
      </c>
    </row>
    <row r="141" spans="1:9" x14ac:dyDescent="0.35">
      <c r="A141" s="30" t="s">
        <v>192</v>
      </c>
      <c r="G141" s="94">
        <v>0.95</v>
      </c>
      <c r="H141" s="93">
        <f t="shared" si="6"/>
        <v>0.95</v>
      </c>
      <c r="I141" s="77">
        <f t="shared" si="5"/>
        <v>0.95</v>
      </c>
    </row>
    <row r="142" spans="1:9" x14ac:dyDescent="0.35">
      <c r="A142" s="30" t="s">
        <v>193</v>
      </c>
      <c r="G142" s="94">
        <v>1</v>
      </c>
      <c r="H142" s="93">
        <f t="shared" si="6"/>
        <v>1</v>
      </c>
      <c r="I142" s="77">
        <f t="shared" si="5"/>
        <v>1</v>
      </c>
    </row>
  </sheetData>
  <mergeCells count="1">
    <mergeCell ref="B3:I3"/>
  </mergeCells>
  <pageMargins left="0.7" right="0.7" top="0.75" bottom="0.75" header="0.3" footer="0.3"/>
  <pageSetup paperSize="9" orientation="portrait" horizontalDpi="4294967293" verticalDpi="4294967293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E24394-4B88-4C64-AEE1-7D906F0E3AA4}">
  <sheetPr>
    <tabColor theme="9" tint="-0.249977111117893"/>
  </sheetPr>
  <dimension ref="A1:Y61"/>
  <sheetViews>
    <sheetView topLeftCell="A34" workbookViewId="0">
      <selection activeCell="B54" sqref="B54"/>
    </sheetView>
  </sheetViews>
  <sheetFormatPr defaultRowHeight="14.5" x14ac:dyDescent="0.35"/>
  <cols>
    <col min="1" max="1" width="44.26953125" bestFit="1" customWidth="1"/>
    <col min="2" max="6" width="14.26953125" customWidth="1"/>
  </cols>
  <sheetData>
    <row r="1" spans="1:10" ht="28.5" customHeight="1" x14ac:dyDescent="0.45">
      <c r="A1" s="118" t="s">
        <v>194</v>
      </c>
      <c r="B1" s="118"/>
      <c r="C1" s="118"/>
      <c r="D1" s="118"/>
      <c r="E1" s="118"/>
      <c r="F1" s="118"/>
    </row>
    <row r="2" spans="1:10" x14ac:dyDescent="0.35">
      <c r="A2" s="114" t="s">
        <v>195</v>
      </c>
      <c r="B2" s="114">
        <v>2018</v>
      </c>
      <c r="C2" s="114">
        <v>2030</v>
      </c>
      <c r="D2" s="114">
        <v>2050</v>
      </c>
      <c r="E2" s="114">
        <v>2075</v>
      </c>
      <c r="F2" s="114">
        <v>2100</v>
      </c>
      <c r="H2" s="103"/>
      <c r="I2" t="s">
        <v>196</v>
      </c>
    </row>
    <row r="3" spans="1:10" x14ac:dyDescent="0.35">
      <c r="A3" s="119" t="s">
        <v>249</v>
      </c>
      <c r="B3" s="119"/>
      <c r="C3" s="119"/>
      <c r="D3" s="119"/>
      <c r="E3" s="119"/>
      <c r="F3" s="119"/>
    </row>
    <row r="4" spans="1:10" ht="16.5" x14ac:dyDescent="0.45">
      <c r="A4" s="106" t="s">
        <v>250</v>
      </c>
      <c r="B4" s="76">
        <f>' KF OECD total'!G1</f>
        <v>11612.272823871999</v>
      </c>
      <c r="C4" s="76">
        <f>' KF OECD total'!H1</f>
        <v>10463.390479151229</v>
      </c>
      <c r="D4" s="76">
        <f>' KF OECD total'!I1</f>
        <v>9862.8700901002412</v>
      </c>
      <c r="E4" s="107">
        <f>D4</f>
        <v>9862.8700901002412</v>
      </c>
      <c r="F4" s="107">
        <f>D4</f>
        <v>9862.8700901002412</v>
      </c>
    </row>
    <row r="6" spans="1:10" ht="16.5" x14ac:dyDescent="0.45">
      <c r="A6" t="s">
        <v>198</v>
      </c>
      <c r="B6" s="105">
        <v>0.74</v>
      </c>
      <c r="C6" s="105">
        <v>0.74</v>
      </c>
      <c r="D6" s="105">
        <v>0.74</v>
      </c>
      <c r="E6" s="105">
        <v>0.6</v>
      </c>
      <c r="F6" s="105">
        <v>0.5</v>
      </c>
    </row>
    <row r="8" spans="1:10" ht="16.5" x14ac:dyDescent="0.45">
      <c r="A8" t="s">
        <v>199</v>
      </c>
      <c r="B8" s="75">
        <f>I43</f>
        <v>15692.2605728</v>
      </c>
      <c r="C8" s="75">
        <f t="shared" ref="C8:F8" si="0">J43</f>
        <v>14139.716863717877</v>
      </c>
      <c r="D8" s="75">
        <f t="shared" si="0"/>
        <v>13328.202824459786</v>
      </c>
      <c r="E8" s="75">
        <f t="shared" si="0"/>
        <v>16438.116816833735</v>
      </c>
      <c r="F8" s="75">
        <f t="shared" si="0"/>
        <v>19725.740180200482</v>
      </c>
    </row>
    <row r="10" spans="1:10" x14ac:dyDescent="0.35">
      <c r="A10" s="119" t="s">
        <v>251</v>
      </c>
      <c r="B10" s="119"/>
      <c r="C10" s="119"/>
      <c r="D10" s="119"/>
      <c r="E10" s="119"/>
      <c r="F10" s="119"/>
    </row>
    <row r="11" spans="1:10" ht="16.5" x14ac:dyDescent="0.45">
      <c r="A11" s="106" t="s">
        <v>250</v>
      </c>
      <c r="B11" s="76">
        <f>'KF Non-OECD total'!G1</f>
        <v>20040.282341040001</v>
      </c>
      <c r="C11" s="76">
        <f>'KF Non-OECD total'!H1</f>
        <v>19904.057586202573</v>
      </c>
      <c r="D11" s="76">
        <f>'KF Non-OECD total'!I1</f>
        <v>19904.057586202573</v>
      </c>
      <c r="E11" s="107">
        <f>D11</f>
        <v>19904.057586202573</v>
      </c>
      <c r="F11" s="107">
        <f>D11</f>
        <v>19904.057586202573</v>
      </c>
      <c r="J11" s="75"/>
    </row>
    <row r="13" spans="1:10" ht="16.5" x14ac:dyDescent="0.45">
      <c r="A13" t="s">
        <v>198</v>
      </c>
      <c r="B13" s="105">
        <v>0.74</v>
      </c>
      <c r="C13" s="105">
        <v>0.74</v>
      </c>
      <c r="D13" s="105">
        <v>0.74</v>
      </c>
      <c r="E13" s="105">
        <v>0.74</v>
      </c>
      <c r="F13" s="105">
        <v>0.74</v>
      </c>
    </row>
    <row r="15" spans="1:10" ht="16.5" x14ac:dyDescent="0.45">
      <c r="A15" t="s">
        <v>199</v>
      </c>
      <c r="B15" s="75">
        <f>P43</f>
        <v>27081.46262302703</v>
      </c>
      <c r="C15" s="75">
        <f t="shared" ref="C15:F15" si="1">Q43</f>
        <v>26897.375116489962</v>
      </c>
      <c r="D15" s="75">
        <f t="shared" si="1"/>
        <v>26897.375116489962</v>
      </c>
      <c r="E15" s="75">
        <f t="shared" si="1"/>
        <v>26897.375116489962</v>
      </c>
      <c r="F15" s="75">
        <f t="shared" si="1"/>
        <v>26897.375116489962</v>
      </c>
    </row>
    <row r="37" spans="1:20" x14ac:dyDescent="0.35">
      <c r="A37" s="102" t="s">
        <v>200</v>
      </c>
      <c r="B37" s="102"/>
      <c r="C37" s="102"/>
      <c r="D37" s="102"/>
      <c r="E37" s="102"/>
      <c r="F37" s="102"/>
      <c r="G37" s="102"/>
      <c r="H37" s="102"/>
      <c r="I37" s="102"/>
    </row>
    <row r="38" spans="1:20" x14ac:dyDescent="0.35">
      <c r="A38" s="117" t="s">
        <v>252</v>
      </c>
      <c r="B38" s="117"/>
      <c r="C38" s="117"/>
      <c r="D38" s="117"/>
      <c r="E38" s="117"/>
      <c r="F38" s="117"/>
      <c r="H38" s="117" t="s">
        <v>115</v>
      </c>
      <c r="I38" s="117"/>
      <c r="J38" s="117"/>
      <c r="K38" s="117"/>
      <c r="L38" s="117"/>
      <c r="M38" s="117"/>
      <c r="O38" s="117" t="s">
        <v>117</v>
      </c>
      <c r="P38" s="117"/>
      <c r="Q38" s="117"/>
      <c r="R38" s="117"/>
      <c r="S38" s="117"/>
      <c r="T38" s="117"/>
    </row>
    <row r="39" spans="1:20" x14ac:dyDescent="0.35">
      <c r="A39" s="30" t="s">
        <v>195</v>
      </c>
      <c r="B39">
        <v>2018</v>
      </c>
      <c r="C39">
        <v>2030</v>
      </c>
      <c r="D39">
        <v>2050</v>
      </c>
      <c r="E39">
        <v>2075</v>
      </c>
      <c r="F39">
        <v>2100</v>
      </c>
      <c r="H39" s="30" t="s">
        <v>195</v>
      </c>
      <c r="I39">
        <v>2018</v>
      </c>
      <c r="J39">
        <v>2030</v>
      </c>
      <c r="K39">
        <v>2050</v>
      </c>
      <c r="L39">
        <v>2075</v>
      </c>
      <c r="M39">
        <v>2100</v>
      </c>
      <c r="O39" s="30" t="s">
        <v>195</v>
      </c>
      <c r="P39">
        <v>2018</v>
      </c>
      <c r="Q39">
        <v>2030</v>
      </c>
      <c r="R39">
        <v>2050</v>
      </c>
      <c r="S39">
        <v>2075</v>
      </c>
      <c r="T39">
        <v>2100</v>
      </c>
    </row>
    <row r="40" spans="1:20" x14ac:dyDescent="0.35">
      <c r="A40" s="30"/>
      <c r="B40" s="40"/>
      <c r="C40" s="40"/>
      <c r="D40" s="40"/>
      <c r="E40" s="40"/>
      <c r="F40" s="40"/>
      <c r="H40" s="30" t="s">
        <v>201</v>
      </c>
      <c r="I40" s="40">
        <f>B6</f>
        <v>0.74</v>
      </c>
      <c r="J40" s="40">
        <f t="shared" ref="J40:M40" si="2">C6</f>
        <v>0.74</v>
      </c>
      <c r="K40" s="40">
        <f t="shared" si="2"/>
        <v>0.74</v>
      </c>
      <c r="L40" s="40">
        <f t="shared" si="2"/>
        <v>0.6</v>
      </c>
      <c r="M40" s="40">
        <f t="shared" si="2"/>
        <v>0.5</v>
      </c>
      <c r="O40" s="30" t="s">
        <v>201</v>
      </c>
      <c r="P40" s="40">
        <f>B13</f>
        <v>0.74</v>
      </c>
      <c r="Q40" s="40">
        <f t="shared" ref="Q40:T40" si="3">C13</f>
        <v>0.74</v>
      </c>
      <c r="R40" s="40">
        <f t="shared" si="3"/>
        <v>0.74</v>
      </c>
      <c r="S40" s="40">
        <f t="shared" si="3"/>
        <v>0.74</v>
      </c>
      <c r="T40" s="40">
        <f t="shared" si="3"/>
        <v>0.74</v>
      </c>
    </row>
    <row r="41" spans="1:20" x14ac:dyDescent="0.35">
      <c r="A41" s="30"/>
      <c r="B41" s="40"/>
      <c r="C41" s="40"/>
      <c r="D41" s="40"/>
      <c r="E41" s="40"/>
      <c r="F41" s="40"/>
      <c r="H41" s="30" t="s">
        <v>193</v>
      </c>
      <c r="I41" s="40">
        <f>1-I40</f>
        <v>0.26</v>
      </c>
      <c r="J41" s="40">
        <f>1-J40</f>
        <v>0.26</v>
      </c>
      <c r="K41" s="40">
        <f>1-K40</f>
        <v>0.26</v>
      </c>
      <c r="L41" s="40">
        <f>1-L40</f>
        <v>0.4</v>
      </c>
      <c r="M41" s="40">
        <f>1-M40</f>
        <v>0.5</v>
      </c>
      <c r="O41" s="30" t="s">
        <v>193</v>
      </c>
      <c r="P41" s="40">
        <f>1-P40</f>
        <v>0.26</v>
      </c>
      <c r="Q41" s="40">
        <f>1-Q40</f>
        <v>0.26</v>
      </c>
      <c r="R41" s="40">
        <f>1-R40</f>
        <v>0.26</v>
      </c>
      <c r="S41" s="40">
        <f>1-S40</f>
        <v>0.26</v>
      </c>
      <c r="T41" s="40">
        <f>1-T40</f>
        <v>0.26</v>
      </c>
    </row>
    <row r="42" spans="1:20" x14ac:dyDescent="0.35">
      <c r="A42" s="30" t="s">
        <v>202</v>
      </c>
      <c r="B42" s="75">
        <f>I42+P42</f>
        <v>11121.168030915029</v>
      </c>
      <c r="C42" s="75">
        <f t="shared" ref="C42:F43" si="4">J42+Q42</f>
        <v>10669.643914854038</v>
      </c>
      <c r="D42" s="75">
        <f t="shared" si="4"/>
        <v>10458.650264646934</v>
      </c>
      <c r="E42" s="75">
        <f t="shared" si="4"/>
        <v>13568.564257020884</v>
      </c>
      <c r="F42" s="75">
        <f t="shared" si="4"/>
        <v>16856.187620387631</v>
      </c>
      <c r="H42" s="30" t="s">
        <v>202</v>
      </c>
      <c r="I42" s="75">
        <f>(B4/I40)*I41</f>
        <v>4079.9877489280002</v>
      </c>
      <c r="J42" s="75">
        <f t="shared" ref="J42:M42" si="5">(C4/J40)*J41</f>
        <v>3676.3263845666479</v>
      </c>
      <c r="K42" s="75">
        <f t="shared" si="5"/>
        <v>3465.3327343595442</v>
      </c>
      <c r="L42" s="75">
        <f t="shared" si="5"/>
        <v>6575.2467267334941</v>
      </c>
      <c r="M42" s="75">
        <f t="shared" si="5"/>
        <v>9862.8700901002412</v>
      </c>
      <c r="O42" s="30" t="s">
        <v>202</v>
      </c>
      <c r="P42" s="75">
        <f>(B11/P40)*P41</f>
        <v>7041.1802819870281</v>
      </c>
      <c r="Q42" s="75">
        <f t="shared" ref="Q42:T42" si="6">(C11/Q40)*Q41</f>
        <v>6993.3175302873906</v>
      </c>
      <c r="R42" s="75">
        <f t="shared" si="6"/>
        <v>6993.3175302873906</v>
      </c>
      <c r="S42" s="75">
        <f t="shared" si="6"/>
        <v>6993.3175302873906</v>
      </c>
      <c r="T42" s="75">
        <f t="shared" si="6"/>
        <v>6993.3175302873906</v>
      </c>
    </row>
    <row r="43" spans="1:20" x14ac:dyDescent="0.35">
      <c r="A43" s="30" t="s">
        <v>203</v>
      </c>
      <c r="B43" s="75">
        <f>I43+P43</f>
        <v>42773.723195827028</v>
      </c>
      <c r="C43" s="75">
        <f t="shared" si="4"/>
        <v>41037.091980207842</v>
      </c>
      <c r="D43" s="75">
        <f t="shared" si="4"/>
        <v>40225.577940949748</v>
      </c>
      <c r="E43" s="75">
        <f t="shared" si="4"/>
        <v>43335.491933323698</v>
      </c>
      <c r="F43" s="75">
        <f t="shared" si="4"/>
        <v>46623.115296690448</v>
      </c>
      <c r="H43" s="30" t="s">
        <v>203</v>
      </c>
      <c r="I43" s="75">
        <f>B4+I42</f>
        <v>15692.2605728</v>
      </c>
      <c r="J43" s="75">
        <f t="shared" ref="J43:M43" si="7">C4+J42</f>
        <v>14139.716863717877</v>
      </c>
      <c r="K43" s="75">
        <f t="shared" si="7"/>
        <v>13328.202824459786</v>
      </c>
      <c r="L43" s="75">
        <f t="shared" si="7"/>
        <v>16438.116816833735</v>
      </c>
      <c r="M43" s="75">
        <f t="shared" si="7"/>
        <v>19725.740180200482</v>
      </c>
      <c r="O43" s="30" t="s">
        <v>203</v>
      </c>
      <c r="P43" s="75">
        <f>'KF World'!U1+P42+B11</f>
        <v>27081.46262302703</v>
      </c>
      <c r="Q43" s="75">
        <f>'KF World'!V1+Q42+C11</f>
        <v>26897.375116489962</v>
      </c>
      <c r="R43" s="75">
        <f>'KF World'!W1+R42+D11</f>
        <v>26897.375116489962</v>
      </c>
      <c r="S43" s="75">
        <f>'KF World'!X1+S42+E11</f>
        <v>26897.375116489962</v>
      </c>
      <c r="T43" s="75">
        <f>'KF World'!Y1+T42+F11</f>
        <v>26897.375116489962</v>
      </c>
    </row>
    <row r="45" spans="1:20" x14ac:dyDescent="0.35">
      <c r="A45" s="30" t="s">
        <v>204</v>
      </c>
      <c r="B45" s="96">
        <v>2018</v>
      </c>
      <c r="C45">
        <v>2019</v>
      </c>
      <c r="D45" s="108">
        <v>2020</v>
      </c>
      <c r="E45" s="108">
        <v>2025</v>
      </c>
      <c r="F45" s="110">
        <v>2030</v>
      </c>
      <c r="G45" s="108">
        <v>2035</v>
      </c>
      <c r="H45" s="108">
        <v>2040</v>
      </c>
      <c r="I45" s="108">
        <v>2045</v>
      </c>
      <c r="J45" s="110">
        <v>2050</v>
      </c>
      <c r="K45" s="108">
        <v>2055</v>
      </c>
      <c r="L45" s="108">
        <v>2060</v>
      </c>
      <c r="M45" s="108">
        <v>2065</v>
      </c>
      <c r="N45" s="108">
        <v>2070</v>
      </c>
      <c r="O45" s="110">
        <v>2075</v>
      </c>
      <c r="P45" s="108">
        <v>2080</v>
      </c>
      <c r="Q45" s="108">
        <v>2085</v>
      </c>
      <c r="R45" s="108">
        <v>2090</v>
      </c>
      <c r="S45" s="108">
        <v>2095</v>
      </c>
      <c r="T45" s="110">
        <v>2100</v>
      </c>
    </row>
    <row r="46" spans="1:20" x14ac:dyDescent="0.35">
      <c r="A46" s="30" t="s">
        <v>205</v>
      </c>
      <c r="B46" s="111">
        <f>B43</f>
        <v>42773.723195827028</v>
      </c>
      <c r="C46" s="75">
        <f>B46+(($F$46-$B$46)/12)</f>
        <v>42629.003927858765</v>
      </c>
      <c r="D46" s="75">
        <f>C46+(($F$46-$B$46)/12)</f>
        <v>42484.284659890502</v>
      </c>
      <c r="E46" s="75">
        <f>D46+(($F$46-$B$46)/12)*5</f>
        <v>41760.688320049172</v>
      </c>
      <c r="F46" s="109">
        <f>C43</f>
        <v>41037.091980207842</v>
      </c>
      <c r="G46" s="7">
        <f>F46+(J46-F46)/4</f>
        <v>40834.213470393319</v>
      </c>
      <c r="H46" s="7">
        <f>G46+(J46-F46)/4</f>
        <v>40631.334960578795</v>
      </c>
      <c r="I46" s="7">
        <f>H46+(J46-F46)/4</f>
        <v>40428.456450764272</v>
      </c>
      <c r="J46" s="109">
        <f>D43</f>
        <v>40225.577940949748</v>
      </c>
      <c r="K46" s="7">
        <f>J46+(O46-J46)/5</f>
        <v>40847.560739424538</v>
      </c>
      <c r="L46" s="7">
        <f>K46+(O46-J46)/5</f>
        <v>41469.543537899328</v>
      </c>
      <c r="M46" s="7">
        <f>L46+(O46-J46)/5</f>
        <v>42091.526336374118</v>
      </c>
      <c r="N46" s="7">
        <f>M46+(O46-J46)/5</f>
        <v>42713.509134848908</v>
      </c>
      <c r="O46" s="109">
        <f>E43</f>
        <v>43335.491933323698</v>
      </c>
      <c r="P46" s="7">
        <f>O46+(T46-O46)/5</f>
        <v>43993.016605997051</v>
      </c>
      <c r="Q46" s="7">
        <f>P46+(T46-O46)/5</f>
        <v>44650.541278670404</v>
      </c>
      <c r="R46" s="7">
        <f>Q46+(T46-O46)/5</f>
        <v>45308.065951343757</v>
      </c>
      <c r="S46" s="7">
        <f>R46+(T46-O46)/5</f>
        <v>45965.59062401711</v>
      </c>
      <c r="T46" s="109">
        <f>F43</f>
        <v>46623.115296690448</v>
      </c>
    </row>
    <row r="48" spans="1:20" x14ac:dyDescent="0.35">
      <c r="A48" s="39" t="s">
        <v>206</v>
      </c>
    </row>
    <row r="49" spans="1:25" x14ac:dyDescent="0.35">
      <c r="A49" t="s">
        <v>195</v>
      </c>
      <c r="B49">
        <v>2015</v>
      </c>
    </row>
    <row r="50" spans="1:25" x14ac:dyDescent="0.35">
      <c r="A50" t="s">
        <v>207</v>
      </c>
      <c r="B50">
        <v>399.4</v>
      </c>
    </row>
    <row r="51" spans="1:25" x14ac:dyDescent="0.35">
      <c r="A51" t="s">
        <v>208</v>
      </c>
      <c r="B51">
        <v>14.65</v>
      </c>
    </row>
    <row r="52" spans="1:25" x14ac:dyDescent="0.35">
      <c r="A52" t="s">
        <v>209</v>
      </c>
      <c r="B52">
        <v>3</v>
      </c>
    </row>
    <row r="53" spans="1:25" x14ac:dyDescent="0.35">
      <c r="A53" t="s">
        <v>318</v>
      </c>
      <c r="B53" s="116">
        <f>12/44*10^-3*'KF World'!F1</f>
        <v>8.6949609854050909</v>
      </c>
    </row>
    <row r="54" spans="1:25" x14ac:dyDescent="0.35">
      <c r="B54" s="34"/>
    </row>
    <row r="55" spans="1:25" x14ac:dyDescent="0.35">
      <c r="B55">
        <v>2018</v>
      </c>
      <c r="C55">
        <v>2019</v>
      </c>
      <c r="D55" s="108">
        <v>2020</v>
      </c>
      <c r="E55" s="108">
        <v>2025</v>
      </c>
      <c r="F55" s="108">
        <v>2030</v>
      </c>
      <c r="G55" s="108">
        <v>2035</v>
      </c>
      <c r="H55" s="108">
        <v>2040</v>
      </c>
      <c r="I55" s="108">
        <v>2045</v>
      </c>
      <c r="J55" s="108">
        <v>2050</v>
      </c>
      <c r="K55" s="108">
        <v>2055</v>
      </c>
      <c r="L55" s="108">
        <v>2060</v>
      </c>
      <c r="M55" s="108">
        <v>2065</v>
      </c>
      <c r="N55" s="108">
        <v>2070</v>
      </c>
      <c r="O55" s="108">
        <v>2075</v>
      </c>
      <c r="P55" s="108">
        <v>2080</v>
      </c>
      <c r="Q55" s="108">
        <v>2085</v>
      </c>
      <c r="R55" s="108">
        <v>2090</v>
      </c>
      <c r="S55" s="108">
        <v>2095</v>
      </c>
      <c r="T55" s="108">
        <v>2100</v>
      </c>
    </row>
    <row r="56" spans="1:25" x14ac:dyDescent="0.35">
      <c r="A56" t="s">
        <v>210</v>
      </c>
      <c r="B56" s="104">
        <f t="shared" ref="B56:T56" si="8">B46*12/44*10^-3</f>
        <v>11.665560871589189</v>
      </c>
      <c r="C56" s="104">
        <f>C46*12/44*10^-3</f>
        <v>11.626091980325118</v>
      </c>
      <c r="D56" s="104">
        <f t="shared" si="8"/>
        <v>11.586623089061046</v>
      </c>
      <c r="E56" s="104">
        <f t="shared" si="8"/>
        <v>11.389278632740684</v>
      </c>
      <c r="F56" s="104">
        <f t="shared" si="8"/>
        <v>11.19193417642032</v>
      </c>
      <c r="G56" s="104">
        <f t="shared" si="8"/>
        <v>11.136603673743632</v>
      </c>
      <c r="H56" s="104">
        <f t="shared" si="8"/>
        <v>11.081273171066945</v>
      </c>
      <c r="I56" s="104">
        <f t="shared" si="8"/>
        <v>11.025942668390257</v>
      </c>
      <c r="J56" s="104">
        <f t="shared" si="8"/>
        <v>10.970612165713568</v>
      </c>
      <c r="K56" s="104">
        <f t="shared" si="8"/>
        <v>11.140243838024874</v>
      </c>
      <c r="L56" s="104">
        <f t="shared" si="8"/>
        <v>11.30987551033618</v>
      </c>
      <c r="M56" s="104">
        <f t="shared" si="8"/>
        <v>11.479507182647486</v>
      </c>
      <c r="N56" s="104">
        <f t="shared" si="8"/>
        <v>11.649138854958794</v>
      </c>
      <c r="O56" s="104">
        <f t="shared" si="8"/>
        <v>11.818770527270098</v>
      </c>
      <c r="P56" s="104">
        <f t="shared" si="8"/>
        <v>11.998095437999197</v>
      </c>
      <c r="Q56" s="104">
        <f t="shared" si="8"/>
        <v>12.177420348728292</v>
      </c>
      <c r="R56" s="104">
        <f t="shared" si="8"/>
        <v>12.356745259457391</v>
      </c>
      <c r="S56" s="104">
        <f t="shared" si="8"/>
        <v>12.536070170186484</v>
      </c>
      <c r="T56" s="104">
        <f t="shared" si="8"/>
        <v>12.715395080915577</v>
      </c>
      <c r="U56" s="104"/>
    </row>
    <row r="57" spans="1:25" x14ac:dyDescent="0.35">
      <c r="A57" t="s">
        <v>207</v>
      </c>
      <c r="B57" s="7">
        <f>(B50+AVERAGE(B53,B56)*0.45*3/2.3)*(1-0.001)^3</f>
        <v>404.16046015408875</v>
      </c>
      <c r="C57" s="7">
        <f>(B57+AVERAGE(B56,C56)*0.45/2.3)*(1-0.001)^1</f>
        <v>406.03255241992991</v>
      </c>
      <c r="D57" s="7">
        <f>(C57+AVERAGE(C56,D56)*0.45/2.3)*(1-0.001)^1</f>
        <v>407.89505814130183</v>
      </c>
      <c r="E57" s="7">
        <f t="shared" ref="E57:T57" si="9">(D57+AVERAGE(D56,E56)*0.45*5/2.3)*(1-0.001)^5</f>
        <v>417.04179172878111</v>
      </c>
      <c r="F57" s="7">
        <f>(E57+AVERAGE(E56,F56)*0.45*5/2.3)*(1-0.001)^5</f>
        <v>425.95079200797664</v>
      </c>
      <c r="G57" s="7">
        <f t="shared" si="9"/>
        <v>434.6923619945685</v>
      </c>
      <c r="H57" s="7">
        <f t="shared" si="9"/>
        <v>443.33645389148597</v>
      </c>
      <c r="I57" s="7">
        <f t="shared" si="9"/>
        <v>451.88355411537077</v>
      </c>
      <c r="J57" s="7">
        <f t="shared" si="9"/>
        <v>460.33414665564084</v>
      </c>
      <c r="K57" s="7">
        <f t="shared" si="9"/>
        <v>468.79819985308978</v>
      </c>
      <c r="L57" s="7">
        <f t="shared" si="9"/>
        <v>477.38513330539166</v>
      </c>
      <c r="M57" s="7">
        <f t="shared" si="9"/>
        <v>486.09433383884658</v>
      </c>
      <c r="N57" s="7">
        <f t="shared" si="9"/>
        <v>494.92519133949753</v>
      </c>
      <c r="O57" s="7">
        <f t="shared" si="9"/>
        <v>503.87709873786218</v>
      </c>
      <c r="P57" s="7">
        <f t="shared" si="9"/>
        <v>512.95416959273837</v>
      </c>
      <c r="Q57" s="7">
        <f t="shared" si="9"/>
        <v>522.16049693622449</v>
      </c>
      <c r="R57" s="7">
        <f t="shared" si="9"/>
        <v>531.49543577715042</v>
      </c>
      <c r="S57" s="7">
        <f t="shared" si="9"/>
        <v>540.95834434285848</v>
      </c>
      <c r="T57" s="7">
        <f t="shared" si="9"/>
        <v>550.54858406314293</v>
      </c>
    </row>
    <row r="59" spans="1:25" x14ac:dyDescent="0.35">
      <c r="A59" t="s">
        <v>211</v>
      </c>
      <c r="B59">
        <v>1995</v>
      </c>
      <c r="C59">
        <v>2000</v>
      </c>
      <c r="D59">
        <v>2005</v>
      </c>
      <c r="E59">
        <v>2010</v>
      </c>
      <c r="F59">
        <v>2015</v>
      </c>
      <c r="G59">
        <v>2018</v>
      </c>
      <c r="H59">
        <v>2019</v>
      </c>
      <c r="I59" s="108">
        <v>2020</v>
      </c>
      <c r="J59" s="108">
        <v>2025</v>
      </c>
      <c r="K59" s="108">
        <v>2030</v>
      </c>
      <c r="L59" s="108">
        <v>2035</v>
      </c>
      <c r="M59" s="108">
        <v>2040</v>
      </c>
      <c r="N59" s="108">
        <v>2045</v>
      </c>
      <c r="O59" s="108">
        <v>2050</v>
      </c>
      <c r="P59" s="108">
        <v>2055</v>
      </c>
      <c r="Q59" s="108">
        <v>2060</v>
      </c>
      <c r="R59" s="108">
        <v>2065</v>
      </c>
      <c r="S59" s="108">
        <v>2070</v>
      </c>
      <c r="T59" s="108">
        <v>2075</v>
      </c>
      <c r="U59" s="108">
        <v>2080</v>
      </c>
      <c r="V59" s="108">
        <v>2085</v>
      </c>
      <c r="W59" s="108">
        <v>2090</v>
      </c>
      <c r="X59" s="108">
        <v>2095</v>
      </c>
      <c r="Y59" s="108">
        <v>2100</v>
      </c>
    </row>
    <row r="60" spans="1:25" x14ac:dyDescent="0.35">
      <c r="A60" t="s">
        <v>212</v>
      </c>
      <c r="B60" s="112">
        <v>14.24</v>
      </c>
      <c r="C60" s="113">
        <v>14.4</v>
      </c>
      <c r="D60" s="113">
        <v>14.47</v>
      </c>
      <c r="E60" s="113">
        <v>14.45</v>
      </c>
      <c r="F60" s="113">
        <v>14.65</v>
      </c>
      <c r="G60" s="34">
        <f>F60+$B$52*LOG(B57/B50,2)</f>
        <v>14.701281562082755</v>
      </c>
      <c r="H60" s="34">
        <f t="shared" ref="H60:Y60" si="10">G60+$B$52*LOG(C57/B57,2)</f>
        <v>14.721283188803325</v>
      </c>
      <c r="I60" s="34">
        <f t="shared" si="10"/>
        <v>14.741091086383046</v>
      </c>
      <c r="J60" s="34">
        <f t="shared" si="10"/>
        <v>14.837072891504429</v>
      </c>
      <c r="K60" s="34">
        <f t="shared" si="10"/>
        <v>14.928557319580985</v>
      </c>
      <c r="L60" s="34">
        <f t="shared" si="10"/>
        <v>15.016481240128508</v>
      </c>
      <c r="M60" s="34">
        <f t="shared" si="10"/>
        <v>15.101702985979985</v>
      </c>
      <c r="N60" s="34">
        <f t="shared" si="10"/>
        <v>15.184350158886389</v>
      </c>
      <c r="O60" s="34">
        <f t="shared" si="10"/>
        <v>15.264541389845423</v>
      </c>
      <c r="P60" s="34">
        <f t="shared" si="10"/>
        <v>15.343398091472329</v>
      </c>
      <c r="Q60" s="34">
        <f t="shared" si="10"/>
        <v>15.42195791808633</v>
      </c>
      <c r="R60" s="34">
        <f t="shared" si="10"/>
        <v>15.500205953980918</v>
      </c>
      <c r="S60" s="34">
        <f t="shared" si="10"/>
        <v>15.578128430323794</v>
      </c>
      <c r="T60" s="34">
        <f t="shared" si="10"/>
        <v>15.655712663166369</v>
      </c>
      <c r="U60" s="34">
        <f t="shared" si="10"/>
        <v>15.732986799297896</v>
      </c>
      <c r="V60" s="34">
        <f t="shared" si="10"/>
        <v>15.809976953906174</v>
      </c>
      <c r="W60" s="34">
        <f t="shared" si="10"/>
        <v>15.886668909604895</v>
      </c>
      <c r="X60" s="34">
        <f t="shared" si="10"/>
        <v>15.963049519168813</v>
      </c>
      <c r="Y60" s="34">
        <f t="shared" si="10"/>
        <v>16.039106648849877</v>
      </c>
    </row>
    <row r="61" spans="1:25" x14ac:dyDescent="0.35">
      <c r="A61" t="s">
        <v>213</v>
      </c>
      <c r="B61">
        <f t="shared" ref="B61:G61" si="11">15.8</f>
        <v>15.8</v>
      </c>
      <c r="C61">
        <f t="shared" si="11"/>
        <v>15.8</v>
      </c>
      <c r="D61">
        <f t="shared" si="11"/>
        <v>15.8</v>
      </c>
      <c r="E61">
        <f t="shared" si="11"/>
        <v>15.8</v>
      </c>
      <c r="F61">
        <f t="shared" si="11"/>
        <v>15.8</v>
      </c>
      <c r="G61">
        <f t="shared" si="11"/>
        <v>15.8</v>
      </c>
      <c r="H61">
        <v>15.8</v>
      </c>
      <c r="I61">
        <v>15.8</v>
      </c>
      <c r="J61">
        <v>15.8</v>
      </c>
      <c r="K61">
        <v>15.8</v>
      </c>
      <c r="L61">
        <v>15.8</v>
      </c>
      <c r="M61">
        <v>15.8</v>
      </c>
      <c r="N61">
        <v>15.8</v>
      </c>
      <c r="O61">
        <v>15.8</v>
      </c>
      <c r="P61">
        <v>15.8</v>
      </c>
      <c r="Q61">
        <v>15.8</v>
      </c>
      <c r="R61">
        <v>15.8</v>
      </c>
      <c r="S61">
        <v>15.8</v>
      </c>
      <c r="T61">
        <v>15.8</v>
      </c>
      <c r="U61">
        <v>15.8</v>
      </c>
      <c r="V61">
        <v>15.8</v>
      </c>
      <c r="W61">
        <v>15.8</v>
      </c>
      <c r="X61">
        <v>15.8</v>
      </c>
      <c r="Y61">
        <v>15.8</v>
      </c>
    </row>
  </sheetData>
  <mergeCells count="6">
    <mergeCell ref="O38:T38"/>
    <mergeCell ref="A1:F1"/>
    <mergeCell ref="A3:F3"/>
    <mergeCell ref="A10:F10"/>
    <mergeCell ref="A38:F38"/>
    <mergeCell ref="H38:M38"/>
  </mergeCells>
  <pageMargins left="0.7" right="0.7" top="0.75" bottom="0.75" header="0.3" footer="0.3"/>
  <pageSetup paperSize="9"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Ark96">
    <tabColor theme="9" tint="-0.499984740745262"/>
  </sheetPr>
  <dimension ref="A1:K142"/>
  <sheetViews>
    <sheetView zoomScale="86" zoomScaleNormal="86" workbookViewId="0">
      <pane ySplit="1" topLeftCell="A77" activePane="bottomLeft" state="frozen"/>
      <selection pane="bottomLeft" activeCell="H99" sqref="H99:I99"/>
    </sheetView>
  </sheetViews>
  <sheetFormatPr defaultRowHeight="14.5" x14ac:dyDescent="0.35"/>
  <cols>
    <col min="1" max="1" width="70" customWidth="1"/>
    <col min="2" max="2" width="9.7265625" customWidth="1"/>
    <col min="10" max="10" width="16.1796875" customWidth="1"/>
    <col min="11" max="11" width="13.7265625" customWidth="1"/>
  </cols>
  <sheetData>
    <row r="1" spans="1:11" ht="19.5" customHeight="1" x14ac:dyDescent="0.35">
      <c r="A1" t="s">
        <v>253</v>
      </c>
      <c r="B1" s="76">
        <f>(('Middle East 1995'!$B12+'Middle East 1995'!$B13+'Middle East 1995'!$B14+'Middle East 1995'!$B20-'Middle East 1995'!$B22+'Middle East 1995'!$B30)*Emissionsfaktorer!$B2*-1+('Middle East 1995'!$D22-'Middle East 1995'!$D30-'Middle East 1995'!$D12-'Middle East 1995'!$D13-'Middle East 1995'!$D14-'Middle East 1995'!$D20)*Emissionsfaktorer!$B4+('Middle East 1995'!$E12+'Middle East 1995'!$E13+'Middle East 1995'!$E14+'Middle East 1995'!$E20-'Middle East 1995'!$E22+'Middle East 1995'!$E30)*Emissionsfaktorer!$B5*-1)*0.041872</f>
        <v>697.32808108799998</v>
      </c>
      <c r="C1" s="76">
        <f>(('Middle East 2000'!$B12+'Middle East 2000'!$B13+'Middle East 2000'!$B14+'Middle East 2000'!$B20-'Middle East 2000'!$B22+'Middle East 2000'!$B30)*Emissionsfaktorer!$B2*-1+('Middle East 2000'!$D22-'Middle East 2000'!$D30-'Middle East 2000'!$D12-'Middle East 2000'!$D13-'Middle East 2000'!$D14-'Middle East 2000'!$D20)*Emissionsfaktorer!$B4+('Middle East 2000'!$E12+'Middle East 2000'!$E13+'Middle East 2000'!$E14+'Middle East 2000'!$E20-'Middle East 2000'!$E22+'Middle East 2000'!$E30)*Emissionsfaktorer!$B5*-1)*0.041872</f>
        <v>853.36442406399988</v>
      </c>
      <c r="D1" s="76">
        <f>(('Middle East 2005'!$B12+'Middle East 2005'!$B13+'Middle East 2005'!$B14+'Middle East 2005'!$B20-'Middle East 2005'!$B22+'Middle East 2005'!$B30)*Emissionsfaktorer!$B2*-1+('Middle East 2005'!$D22-'Middle East 2005'!$D30-'Middle East 2005'!$D12-'Middle East 2005'!$D13-'Middle East 2005'!$D14-'Middle East 2005'!$D20)*Emissionsfaktorer!$B4+('Middle East 2005'!$E12+'Middle East 2005'!$E13+'Middle East 2005'!$E14+'Middle East 2005'!$E20-'Middle East 2005'!$E22+'Middle East 2005'!$E30)*Emissionsfaktorer!$B5*-1)*0.041872</f>
        <v>1135.7488989599999</v>
      </c>
      <c r="E1" s="76">
        <f>(('Middle East 2010'!$B12+'Middle East 2010'!$B13+'Middle East 2010'!$B14+'Middle East 2010'!$B20-'Middle East 2010'!$B22+'Middle East 2010'!$B30)*Emissionsfaktorer!$B2*-1+('Middle East 2010'!$D22-'Middle East 2010'!$D30-'Middle East 2010'!$D12-'Middle East 2010'!$D13-'Middle East 2010'!$D14-'Middle East 2010'!$D20)*Emissionsfaktorer!$B4+('Middle East 2010'!$E12+'Middle East 2010'!$E13+'Middle East 2010'!$E14+'Middle East 2010'!$E20-'Middle East 2010'!$E22+'Middle East 2010'!$E30)*Emissionsfaktorer!$B5*-1)*0.041872</f>
        <v>1429.3532693600002</v>
      </c>
      <c r="F1" s="76">
        <f>(('Middle East 2015'!$B12+'Middle East 2015'!$B13+'Middle East 2015'!$B14+'Middle East 2015'!$B20-'Middle East 2015'!$B22+'Middle East 2015'!$B30)*Emissionsfaktorer!$B2*-1+('Middle East 2015'!$D22-'Middle East 2015'!$D30-'Middle East 2015'!$D12-'Middle East 2015'!$D13-'Middle East 2015'!$D14-'Middle East 2015'!$D20)*Emissionsfaktorer!$B4+('Middle East 2015'!$E12+'Middle East 2015'!$E13+'Middle East 2015'!$E14+'Middle East 2015'!$E20-'Middle East 2015'!$E22+'Middle East 2015'!$E30)*Emissionsfaktorer!$B5*-1)*0.041872</f>
        <v>1667.2615152159999</v>
      </c>
      <c r="G1" s="76">
        <f>(('Middle East 2018'!$B12+'Middle East 2018'!$B13+'Middle East 2018'!$B14+'Middle East 2018'!$B20-'Middle East 2018'!$B22+'Middle East 2018'!$B30)*Emissionsfaktorer!$B2*-1+('Middle East 2018'!$D22-'Middle East 2018'!$D30-'Middle East 2018'!$D12-'Middle East 2018'!$D13-'Middle East 2018'!$D14-'Middle East 2018'!$D20)*Emissionsfaktorer!$B4+('Middle East 2018'!$E12+'Middle East 2018'!$E13+'Middle East 2018'!$E14+'Middle East 2018'!$E20-'Middle East 2018'!$E22+'Middle East 2018'!$E30)*Emissionsfaktorer!$B5*-1)*0.041872</f>
        <v>1729.167048</v>
      </c>
      <c r="H1" s="83">
        <f>'BL Middle East 2030'!AH8+'BL Middle East 2030'!AH16</f>
        <v>1667.9301515452057</v>
      </c>
      <c r="I1" s="83">
        <f>'BL Middle East 2050'!AH8+'BL Middle East 2050'!AH16</f>
        <v>1667.9301515452057</v>
      </c>
    </row>
    <row r="2" spans="1:11" ht="15" customHeight="1" x14ac:dyDescent="0.35">
      <c r="A2" t="s">
        <v>240</v>
      </c>
      <c r="B2" s="76">
        <f>' KF Middle East'!B1+' KF Africa'!B1+' KF China'!B1+' KF Asia excluding China'!B1+' KF Non-OECD Americas'!B1+' KF Non-OECD Europe Eurasia '!B1+' KF OECD Europe'!B1+' KF OECD Asia Oceania'!B1+' KF OECD Americas'!B1</f>
        <v>20512.548212767997</v>
      </c>
      <c r="C2" s="76">
        <f>C1+' KF Africa'!C1+' KF China'!C1+' KF Asia excluding China'!C1+' KF Non-OECD Americas'!C1+' KF Non-OECD Europe Eurasia '!C1+' KF OECD Europe'!C1+' KF OECD Asia Oceania'!C1+' KF OECD Americas'!C1</f>
        <v>22293.933162016001</v>
      </c>
      <c r="D2" s="76">
        <f>D1+' KF Africa'!D1+' KF China'!D1+' KF Asia excluding China'!D1+' KF Non-OECD Americas'!D1+' KF Non-OECD Europe Eurasia '!D1+' KF OECD Europe'!D1+' KF OECD Asia Oceania'!D1+' KF OECD Americas'!D1</f>
        <v>25992.162037168</v>
      </c>
      <c r="E2" s="76">
        <f>E1+' KF Africa'!E1+' KF China'!E1+' KF Asia excluding China'!E1+' KF Non-OECD Americas'!E1+' KF Non-OECD Europe Eurasia '!E1+' KF OECD Europe'!E1+' KF OECD Asia Oceania'!E1+' KF OECD Americas'!E1</f>
        <v>29123.978319039998</v>
      </c>
      <c r="F2" s="76">
        <f>F1+' KF Africa'!F1+' KF China'!F1+' KF Asia excluding China'!F1+' KF Non-OECD Americas'!F1+' KF Non-OECD Europe Eurasia '!F1+' KF OECD Europe'!F1+' KF OECD Asia Oceania'!F1+' KF OECD Americas'!F1</f>
        <v>30670.019138096002</v>
      </c>
      <c r="G2" s="76">
        <f>G1+' KF Africa'!G1+' KF China'!G1+' KF Asia excluding China'!G1+' KF Non-OECD Americas'!G1+' KF Non-OECD Europe Eurasia '!G1+' KF OECD Europe'!G1+' KF OECD Asia Oceania'!G1+' KF OECD Americas'!G1</f>
        <v>31652.588578768002</v>
      </c>
      <c r="H2" s="101">
        <f>H1+' KF Africa'!H1+' KF China'!H1+' KF Asia excluding China'!H1+' KF Non-OECD Americas'!H1+' KF Non-OECD Europe Eurasia '!H1+' KF OECD Europe'!H1+' KF OECD Asia Oceania'!H1+' KF OECD Americas'!H1</f>
        <v>31634.759971648018</v>
      </c>
      <c r="I2" s="101">
        <f>I1+' KF Africa'!I1+' KF China'!I1+' KF Asia excluding China'!I1+' KF Non-OECD Americas'!I1+' KF Non-OECD Europe Eurasia '!I1+' KF OECD Europe'!I1+' KF OECD Asia Oceania'!I1+' KF OECD Americas'!I1</f>
        <v>31634.759971648018</v>
      </c>
      <c r="J2" t="s">
        <v>129</v>
      </c>
    </row>
    <row r="3" spans="1:11" ht="15" customHeight="1" x14ac:dyDescent="0.35">
      <c r="B3" s="117" t="s">
        <v>130</v>
      </c>
      <c r="C3" s="117"/>
      <c r="D3" s="117"/>
      <c r="E3" s="117"/>
      <c r="F3" s="117"/>
      <c r="G3" s="117"/>
      <c r="H3" s="117"/>
      <c r="I3" s="117"/>
    </row>
    <row r="4" spans="1:11" ht="15" customHeight="1" x14ac:dyDescent="0.35">
      <c r="B4" s="41">
        <v>1995</v>
      </c>
      <c r="C4" s="114">
        <v>2000</v>
      </c>
      <c r="D4" s="114">
        <v>2005</v>
      </c>
      <c r="E4" s="114">
        <v>2010</v>
      </c>
      <c r="F4" s="114">
        <v>2015</v>
      </c>
      <c r="G4" s="114">
        <v>2018</v>
      </c>
      <c r="H4" s="35">
        <v>2030</v>
      </c>
      <c r="I4" s="35">
        <v>2050</v>
      </c>
    </row>
    <row r="5" spans="1:11" x14ac:dyDescent="0.35">
      <c r="A5" s="30" t="s">
        <v>131</v>
      </c>
      <c r="B5" s="7">
        <f>('Middle East 1995'!$L22-'Middle East 1995'!$L30)*0.041872*-1</f>
        <v>-7419.7183999999997</v>
      </c>
      <c r="C5" s="7">
        <f>('Middle East 2000'!$L22-'Middle East 2000'!$L30)*0.041872*-1</f>
        <v>-8799.9451360000003</v>
      </c>
      <c r="D5" s="7">
        <f>('Middle East 2005'!$L22-'Middle East 2005'!$L30)*0.041872*-1</f>
        <v>-11349.363728</v>
      </c>
      <c r="E5" s="7">
        <f>('Middle East 2010'!$L22-'Middle East 2010'!$L30)*0.041872*-1</f>
        <v>-15104.570303999999</v>
      </c>
      <c r="F5" s="7">
        <f>('Middle East 2015'!$L22-'Middle East 2015'!$L30)*0.041872*-1</f>
        <v>-17575.060175999999</v>
      </c>
      <c r="G5" s="7">
        <f>('Middle East 2018'!$L22-'Middle East 2018'!$L30)*0.041872*-1</f>
        <v>-18399.059264</v>
      </c>
      <c r="H5" s="79">
        <f>G5</f>
        <v>-18399.059264</v>
      </c>
      <c r="I5" s="79">
        <f>H5</f>
        <v>-18399.059264</v>
      </c>
      <c r="K5" s="34"/>
    </row>
    <row r="6" spans="1:11" x14ac:dyDescent="0.35">
      <c r="A6" s="31" t="s">
        <v>132</v>
      </c>
      <c r="B6" s="80"/>
      <c r="C6" s="80"/>
      <c r="D6" s="80"/>
      <c r="E6" s="80"/>
      <c r="F6" s="80"/>
      <c r="G6" s="80"/>
      <c r="H6" s="33"/>
      <c r="I6" s="33"/>
    </row>
    <row r="7" spans="1:11" x14ac:dyDescent="0.35">
      <c r="A7" s="30" t="s">
        <v>133</v>
      </c>
      <c r="B7" s="40">
        <f>('Middle East 1995'!$L23/B$5*0.041872*-1)</f>
        <v>0.34979683972911962</v>
      </c>
      <c r="C7" s="40">
        <f>('Middle East 2000'!$L23/C$5*0.041872*-1)</f>
        <v>0.3291254883114535</v>
      </c>
      <c r="D7" s="40">
        <f>('Middle East 2005'!$L23/D$5*0.041872*-1)</f>
        <v>0.31519393172452209</v>
      </c>
      <c r="E7" s="40">
        <f>('Middle East 2010'!$L23/E$5*0.041872*-1)</f>
        <v>0.36551789139860064</v>
      </c>
      <c r="F7" s="40">
        <f>('Middle East 2015'!$L23/F$5*0.041872*-1)</f>
        <v>0.36124393364353058</v>
      </c>
      <c r="G7" s="40">
        <f>('Middle East 2018'!$L23/G$5*0.041872*-1)</f>
        <v>0.36414799777884993</v>
      </c>
      <c r="H7" s="77">
        <f t="shared" ref="H7:I68" si="0">G7</f>
        <v>0.36414799777884993</v>
      </c>
      <c r="I7" s="77">
        <f>H7</f>
        <v>0.36414799777884993</v>
      </c>
    </row>
    <row r="8" spans="1:11" x14ac:dyDescent="0.35">
      <c r="A8" s="30" t="s">
        <v>134</v>
      </c>
      <c r="B8" s="40">
        <f>'Middle East 1995'!$L24/B$5*0.041872*-1</f>
        <v>0.3335496613995485</v>
      </c>
      <c r="C8" s="40">
        <f>'Middle East 2000'!$L24/C$5*0.041872*-1</f>
        <v>0.33643410115005973</v>
      </c>
      <c r="D8" s="40">
        <f>'Middle East 2005'!$L24/D$5*0.041872*-1</f>
        <v>0.34184962866492774</v>
      </c>
      <c r="E8" s="40">
        <f>'Middle East 2010'!$L24/E$5*0.041872*-1</f>
        <v>0.32132719026867596</v>
      </c>
      <c r="F8" s="40">
        <f>'Middle East 2015'!$L24/F$5*0.041872*-1</f>
        <v>0.32991925819509071</v>
      </c>
      <c r="G8" s="40">
        <f>'Middle East 2018'!$L24/G$5*0.041872*-1</f>
        <v>0.32110638762710164</v>
      </c>
      <c r="H8" s="77">
        <f t="shared" si="0"/>
        <v>0.32110638762710164</v>
      </c>
      <c r="I8" s="77">
        <f t="shared" si="0"/>
        <v>0.32110638762710164</v>
      </c>
    </row>
    <row r="9" spans="1:11" x14ac:dyDescent="0.35">
      <c r="A9" s="30" t="s">
        <v>135</v>
      </c>
      <c r="B9" s="40">
        <f>'Middle East 1995'!$L25/B$5*0.041872*-1</f>
        <v>0.21208803611738147</v>
      </c>
      <c r="C9" s="40">
        <f>'Middle East 2000'!$L25/C$5*0.041872*-1</f>
        <v>0.22336947987990272</v>
      </c>
      <c r="D9" s="40">
        <f>'Middle East 2005'!$L25/D$5*0.041872*-1</f>
        <v>0.23751425019092487</v>
      </c>
      <c r="E9" s="40">
        <f>'Middle East 2010'!$L25/E$5*0.041872*-1</f>
        <v>0.21203275561912999</v>
      </c>
      <c r="F9" s="40">
        <f>'Middle East 2015'!$L25/F$5*0.041872*-1</f>
        <v>0.19799253334858113</v>
      </c>
      <c r="G9" s="40">
        <f>'Middle East 2018'!$L25/G$5*0.041872*-1</f>
        <v>0.19871783201187043</v>
      </c>
      <c r="H9" s="89">
        <f>1-H7-H8-H10-H11-H12-H13</f>
        <v>0.19872010778039739</v>
      </c>
      <c r="I9" s="89">
        <f>1-I7-I8-I10-I11-I12-I13</f>
        <v>0.19872010778039739</v>
      </c>
    </row>
    <row r="10" spans="1:11" x14ac:dyDescent="0.35">
      <c r="A10" s="30" t="s">
        <v>136</v>
      </c>
      <c r="B10" s="40">
        <f>'Middle East 1995'!$L26/B$5*0.041872*-1</f>
        <v>5.4870203160270879E-2</v>
      </c>
      <c r="C10" s="40">
        <f>'Middle East 2000'!$L26/C$5*0.041872*-1</f>
        <v>5.9667972002683624E-2</v>
      </c>
      <c r="D10" s="40">
        <f>'Middle East 2005'!$L26/D$5*0.041872*-1</f>
        <v>6.3246866802681434E-2</v>
      </c>
      <c r="E10" s="40">
        <f>'Middle East 2010'!$L26/E$5*0.041872*-1</f>
        <v>6.6484259782885913E-2</v>
      </c>
      <c r="F10" s="40">
        <f>'Middle East 2015'!$L26/F$5*0.041872*-1</f>
        <v>7.7942406243969392E-2</v>
      </c>
      <c r="G10" s="40">
        <f>'Middle East 2018'!$L26/G$5*0.041872*-1</f>
        <v>8.2098349612664198E-2</v>
      </c>
      <c r="H10" s="88">
        <f t="shared" si="0"/>
        <v>8.2098349612664198E-2</v>
      </c>
      <c r="I10" s="88">
        <f t="shared" si="0"/>
        <v>8.2098349612664198E-2</v>
      </c>
    </row>
    <row r="11" spans="1:11" x14ac:dyDescent="0.35">
      <c r="A11" s="30" t="s">
        <v>137</v>
      </c>
      <c r="B11" s="40">
        <f>'Middle East 1995'!$L27/B$5*0.041872*-1</f>
        <v>2.9125282167042892E-2</v>
      </c>
      <c r="C11" s="40">
        <f>'Middle East 2000'!$L27/C$5*0.041872*-1</f>
        <v>2.596080185379919E-2</v>
      </c>
      <c r="D11" s="40">
        <f>'Middle East 2005'!$L27/D$5*0.041872*-1</f>
        <v>2.4571202992816794E-2</v>
      </c>
      <c r="E11" s="40">
        <f>'Middle East 2010'!$L27/E$5*0.041872*-1</f>
        <v>2.1412017786057242E-2</v>
      </c>
      <c r="F11" s="40">
        <f>'Middle East 2015'!$L27/F$5*0.041872*-1</f>
        <v>1.9755415942992332E-2</v>
      </c>
      <c r="G11" s="40">
        <f>'Middle East 2018'!$L27/G$5*0.041872*-1</f>
        <v>2.0304406798175745E-2</v>
      </c>
      <c r="H11" s="88">
        <f t="shared" si="0"/>
        <v>2.0304406798175745E-2</v>
      </c>
      <c r="I11" s="88">
        <f t="shared" si="0"/>
        <v>2.0304406798175745E-2</v>
      </c>
    </row>
    <row r="12" spans="1:11" x14ac:dyDescent="0.35">
      <c r="A12" s="30" t="s">
        <v>138</v>
      </c>
      <c r="B12" s="40">
        <f>'Middle East 1995'!$L28/B$5*0.041872*-1</f>
        <v>0</v>
      </c>
      <c r="C12" s="40">
        <f>'Middle East 2000'!$L28/C$5*0.041872*-1</f>
        <v>0</v>
      </c>
      <c r="D12" s="40">
        <f>'Middle East 2005'!$L28/D$5*0.041872*-1</f>
        <v>0</v>
      </c>
      <c r="E12" s="40">
        <f>'Middle East 2010'!$L28/E$5*0.041872*-1</f>
        <v>0</v>
      </c>
      <c r="F12" s="40">
        <f>'Middle East 2015'!$L28/F$5*0.041872*-1</f>
        <v>0</v>
      </c>
      <c r="G12" s="40">
        <f>'Middle East 2018'!$L28/G$5*0.041872*-1</f>
        <v>0</v>
      </c>
      <c r="H12" s="88">
        <f t="shared" si="0"/>
        <v>0</v>
      </c>
      <c r="I12" s="88">
        <f t="shared" si="0"/>
        <v>0</v>
      </c>
    </row>
    <row r="13" spans="1:11" x14ac:dyDescent="0.35">
      <c r="A13" s="30" t="s">
        <v>139</v>
      </c>
      <c r="B13" s="40">
        <f>'Middle East 1995'!$L29/B$5*0.041872*-1</f>
        <v>2.0558690744920994E-2</v>
      </c>
      <c r="C13" s="40">
        <f>'Middle East 2000'!$L29/C$5*0.041872*-1</f>
        <v>2.5451673225068163E-2</v>
      </c>
      <c r="D13" s="40">
        <f>'Middle East 2005'!$L29/D$5*0.041872*-1</f>
        <v>1.7653634582676932E-2</v>
      </c>
      <c r="E13" s="40">
        <f>'Middle East 2010'!$L29/E$5*0.041872*-1</f>
        <v>1.321479658028675E-2</v>
      </c>
      <c r="F13" s="40">
        <f>'Middle East 2015'!$L29/F$5*0.041872*-1</f>
        <v>1.3148835092785176E-2</v>
      </c>
      <c r="G13" s="40">
        <f>'Middle East 2018'!$L29/G$5*0.041872*-1</f>
        <v>1.3622750402811029E-2</v>
      </c>
      <c r="H13" s="88">
        <f t="shared" si="0"/>
        <v>1.3622750402811029E-2</v>
      </c>
      <c r="I13" s="88">
        <f t="shared" si="0"/>
        <v>1.3622750402811029E-2</v>
      </c>
    </row>
    <row r="14" spans="1:11" x14ac:dyDescent="0.35">
      <c r="A14" s="31" t="s">
        <v>140</v>
      </c>
      <c r="B14" s="81"/>
      <c r="C14" s="81"/>
      <c r="D14" s="81"/>
      <c r="E14" s="81"/>
      <c r="F14" s="81"/>
      <c r="G14" s="81"/>
      <c r="H14" s="42"/>
      <c r="I14" s="42"/>
    </row>
    <row r="15" spans="1:11" x14ac:dyDescent="0.35">
      <c r="A15" s="30" t="s">
        <v>141</v>
      </c>
      <c r="B15" s="40">
        <f>'Middle East 1995'!$B23/'Middle East 1995'!$L23</f>
        <v>6.2112803304078474E-3</v>
      </c>
      <c r="C15" s="40">
        <f>'Middle East 2000'!$B23/'Middle East 2000'!$L23</f>
        <v>5.406968338875235E-3</v>
      </c>
      <c r="D15" s="40">
        <f>'Middle East 2005'!$B23/'Middle East 2005'!$L23</f>
        <v>9.4928189341355208E-3</v>
      </c>
      <c r="E15" s="40">
        <f>'Middle East 2010'!$B23/'Middle East 2010'!$L23</f>
        <v>7.379374156263746E-3</v>
      </c>
      <c r="F15" s="40">
        <f>'Middle East 2015'!$B23/'Middle East 2015'!$L23</f>
        <v>1.6204344901270231E-2</v>
      </c>
      <c r="G15" s="40">
        <f>'Middle East 2018'!$B23/'Middle East 2018'!$L23</f>
        <v>1.7230065433001481E-2</v>
      </c>
      <c r="H15" s="77">
        <f t="shared" si="0"/>
        <v>1.7230065433001481E-2</v>
      </c>
      <c r="I15" s="77">
        <f t="shared" si="0"/>
        <v>1.7230065433001481E-2</v>
      </c>
    </row>
    <row r="16" spans="1:11" x14ac:dyDescent="0.35">
      <c r="A16" s="30" t="s">
        <v>142</v>
      </c>
      <c r="B16" s="40">
        <f>'Middle East 1995'!$C23/'Middle East 1995'!$L23</f>
        <v>3.3524780588538979E-2</v>
      </c>
      <c r="C16" s="40">
        <f>'Middle East 2000'!$C23/'Middle East 2000'!$L23</f>
        <v>3.7487350007228568E-2</v>
      </c>
      <c r="D16" s="40">
        <f>'Middle East 2005'!$C23/'Middle East 2005'!$L23</f>
        <v>1.5883791977338968E-2</v>
      </c>
      <c r="E16" s="40">
        <f>'Middle East 2010'!$C23/'Middle East 2010'!$L23</f>
        <v>4.6612161936687546E-2</v>
      </c>
      <c r="F16" s="40">
        <f>'Middle East 2015'!$C23/'Middle East 2015'!$L23</f>
        <v>1.6619840924379725E-3</v>
      </c>
      <c r="G16" s="40">
        <f>'Middle East 2018'!$C23/'Middle East 2018'!$L23</f>
        <v>4.5434376386623418E-3</v>
      </c>
      <c r="H16" s="77">
        <f t="shared" si="0"/>
        <v>4.5434376386623418E-3</v>
      </c>
      <c r="I16" s="77">
        <f t="shared" si="0"/>
        <v>4.5434376386623418E-3</v>
      </c>
    </row>
    <row r="17" spans="1:9" x14ac:dyDescent="0.35">
      <c r="A17" s="30" t="s">
        <v>143</v>
      </c>
      <c r="B17" s="40">
        <f>'Middle East 1995'!$D23/'Middle East 1995'!$L23</f>
        <v>0.30698244708311823</v>
      </c>
      <c r="C17" s="40">
        <f>'Middle East 2000'!$D23/'Middle East 2000'!$L23</f>
        <v>0.31360416365476362</v>
      </c>
      <c r="D17" s="40">
        <f>'Middle East 2005'!$D23/'Middle East 2005'!$L23</f>
        <v>0.32140975969473157</v>
      </c>
      <c r="E17" s="40">
        <f>'Middle East 2010'!$D23/'Middle East 2010'!$L23</f>
        <v>0.21736162725438743</v>
      </c>
      <c r="F17" s="40">
        <f>'Middle East 2015'!$D23/'Middle East 2015'!$L23</f>
        <v>0.18101117222639918</v>
      </c>
      <c r="G17" s="40">
        <f>'Middle East 2018'!$D23/'Middle East 2018'!$L23</f>
        <v>0.2271718819331171</v>
      </c>
      <c r="H17" s="77">
        <f t="shared" si="0"/>
        <v>0.2271718819331171</v>
      </c>
      <c r="I17" s="77">
        <f t="shared" si="0"/>
        <v>0.2271718819331171</v>
      </c>
    </row>
    <row r="18" spans="1:9" x14ac:dyDescent="0.35">
      <c r="A18" s="30" t="s">
        <v>241</v>
      </c>
      <c r="B18" s="40">
        <f>'Middle East 1995'!$E23/'Middle East 1995'!$L23</f>
        <v>0.56700116159008773</v>
      </c>
      <c r="C18" s="40">
        <f>'Middle East 2000'!$E23/'Middle East 2000'!$L23</f>
        <v>0.54008963423449474</v>
      </c>
      <c r="D18" s="40">
        <f>'Middle East 2005'!$E23/'Middle East 2005'!$L23</f>
        <v>0.54640478503622725</v>
      </c>
      <c r="E18" s="40">
        <f>'Middle East 2010'!$E23/'Middle East 2010'!$L23</f>
        <v>0.62990125441776512</v>
      </c>
      <c r="F18" s="40">
        <f>'Middle East 2015'!$E23/'Middle East 2015'!$L23</f>
        <v>0.70772822602983654</v>
      </c>
      <c r="G18" s="40">
        <f>'Middle East 2018'!$E23/'Middle East 2018'!$L23</f>
        <v>0.64041847123010298</v>
      </c>
      <c r="H18" s="77">
        <f t="shared" si="0"/>
        <v>0.64041847123010298</v>
      </c>
      <c r="I18" s="77">
        <f t="shared" si="0"/>
        <v>0.64041847123010298</v>
      </c>
    </row>
    <row r="19" spans="1:9" x14ac:dyDescent="0.35">
      <c r="A19" s="30" t="s">
        <v>145</v>
      </c>
      <c r="B19" s="40">
        <f>'Middle East 1995'!$H23/'Middle East 1995'!$L23</f>
        <v>0</v>
      </c>
      <c r="C19" s="40">
        <f>'Middle East 2000'!$H23/'Middle East 2000'!$L23</f>
        <v>0</v>
      </c>
      <c r="D19" s="40">
        <f>'Middle East 2005'!$H23/'Middle East 2005'!$L23</f>
        <v>0</v>
      </c>
      <c r="E19" s="40">
        <f>'Middle East 2010'!$H23/'Middle East 2010'!$L23</f>
        <v>7.5841461009904897E-6</v>
      </c>
      <c r="F19" s="40">
        <f>'Middle East 2015'!$H23/'Middle East 2015'!$L23</f>
        <v>1.3190349939983907E-5</v>
      </c>
      <c r="G19" s="40">
        <f>'Middle East 2018'!$H23/'Middle East 2018'!$L23</f>
        <v>1.8748711026116955E-5</v>
      </c>
      <c r="H19" s="77">
        <f t="shared" si="0"/>
        <v>1.8748711026116955E-5</v>
      </c>
      <c r="I19" s="77">
        <f t="shared" si="0"/>
        <v>1.8748711026116955E-5</v>
      </c>
    </row>
    <row r="20" spans="1:9" x14ac:dyDescent="0.35">
      <c r="A20" s="30" t="s">
        <v>146</v>
      </c>
      <c r="B20" s="40">
        <f>'Middle East 1995'!$I23/'Middle East 1995'!$L23</f>
        <v>0</v>
      </c>
      <c r="C20" s="40">
        <f>'Middle East 2000'!$I23/'Middle East 2000'!$L23</f>
        <v>0</v>
      </c>
      <c r="D20" s="40">
        <f>'Middle East 2005'!$I23/'Middle East 2005'!$L23</f>
        <v>0</v>
      </c>
      <c r="E20" s="40">
        <f>'Middle East 2010'!$I23/'Middle East 2010'!$L23</f>
        <v>0</v>
      </c>
      <c r="F20" s="40">
        <f>'Middle East 2015'!$I23/'Middle East 2015'!$L23</f>
        <v>0</v>
      </c>
      <c r="G20" s="40">
        <f>'Middle East 2018'!$I23/'Middle East 2018'!$L23</f>
        <v>0</v>
      </c>
      <c r="H20" s="77">
        <f t="shared" si="0"/>
        <v>0</v>
      </c>
      <c r="I20" s="77">
        <f t="shared" si="0"/>
        <v>0</v>
      </c>
    </row>
    <row r="21" spans="1:9" x14ac:dyDescent="0.35">
      <c r="A21" s="30" t="s">
        <v>147</v>
      </c>
      <c r="B21" s="40">
        <f>'Middle East 1995'!$J23/'Middle East 1995'!$L23</f>
        <v>8.6312596799173982E-2</v>
      </c>
      <c r="C21" s="40">
        <f>'Middle East 2000'!$J23/'Middle East 2000'!$L23</f>
        <v>0.10344079803382969</v>
      </c>
      <c r="D21" s="40">
        <f>'Middle East 2005'!$J23/'Middle East 2005'!$L23</f>
        <v>0.10679713927873304</v>
      </c>
      <c r="E21" s="40">
        <f>'Middle East 2010'!$J23/'Middle East 2010'!$L23</f>
        <v>9.8760750527098151E-2</v>
      </c>
      <c r="F21" s="40">
        <f>'Middle East 2015'!$J23/'Middle East 2015'!$L23</f>
        <v>9.3374487225146088E-2</v>
      </c>
      <c r="G21" s="40">
        <f>'Middle East 2018'!$J23/'Middle East 2018'!$L23</f>
        <v>0.11064239333545818</v>
      </c>
      <c r="H21" s="89">
        <f>1-H15-H16-H17-H18-H19-H20-H22</f>
        <v>0.11061739505408999</v>
      </c>
      <c r="I21" s="89">
        <f>1-I15-I16-I17-I18-I19-I20-I22</f>
        <v>0.11061739505408999</v>
      </c>
    </row>
    <row r="22" spans="1:9" x14ac:dyDescent="0.35">
      <c r="A22" s="30" t="s">
        <v>148</v>
      </c>
      <c r="B22" s="40">
        <f>'Middle East 1995'!$K23/'Middle East 1995'!$L23</f>
        <v>0</v>
      </c>
      <c r="C22" s="40">
        <f>'Middle East 2000'!$K23/'Middle East 2000'!$L23</f>
        <v>0</v>
      </c>
      <c r="D22" s="40">
        <f>'Middle East 2005'!$K23/'Middle East 2005'!$L23</f>
        <v>0</v>
      </c>
      <c r="E22" s="40">
        <f>'Middle East 2010'!$K23/'Middle East 2010'!$L23</f>
        <v>0</v>
      </c>
      <c r="F22" s="40">
        <f>'Middle East 2015'!$K23/'Middle East 2015'!$L23</f>
        <v>0</v>
      </c>
      <c r="G22" s="40">
        <f>'Middle East 2018'!$K23/'Middle East 2018'!$L23</f>
        <v>0</v>
      </c>
      <c r="H22" s="77">
        <f t="shared" si="0"/>
        <v>0</v>
      </c>
      <c r="I22" s="77">
        <f t="shared" si="0"/>
        <v>0</v>
      </c>
    </row>
    <row r="23" spans="1:9" x14ac:dyDescent="0.35">
      <c r="A23" s="31" t="s">
        <v>149</v>
      </c>
      <c r="B23" s="81"/>
      <c r="C23" s="81"/>
      <c r="D23" s="81"/>
      <c r="E23" s="81"/>
      <c r="F23" s="81"/>
      <c r="G23" s="81"/>
      <c r="H23" s="42"/>
      <c r="I23" s="42"/>
    </row>
    <row r="24" spans="1:9" x14ac:dyDescent="0.35">
      <c r="A24" s="30" t="s">
        <v>141</v>
      </c>
      <c r="B24" s="40">
        <f>'Middle East 1995'!$B24/'Middle East 1995'!$L24</f>
        <v>0</v>
      </c>
      <c r="C24" s="40">
        <f>'Middle East 2000'!$B24/'Middle East 2000'!$L24</f>
        <v>0</v>
      </c>
      <c r="D24" s="40">
        <f>'Middle East 2005'!$B24/'Middle East 2005'!$L24</f>
        <v>0</v>
      </c>
      <c r="E24" s="40">
        <f>'Middle East 2010'!$B24/'Middle East 2010'!$L24</f>
        <v>0</v>
      </c>
      <c r="F24" s="40">
        <f>'Middle East 2015'!$B24/'Middle East 2015'!$L24</f>
        <v>0</v>
      </c>
      <c r="G24" s="40">
        <f>'Middle East 2018'!$B24/'Middle East 2018'!$L24</f>
        <v>0</v>
      </c>
      <c r="H24" s="77">
        <f t="shared" si="0"/>
        <v>0</v>
      </c>
      <c r="I24" s="77">
        <f t="shared" si="0"/>
        <v>0</v>
      </c>
    </row>
    <row r="25" spans="1:9" x14ac:dyDescent="0.35">
      <c r="A25" s="30" t="s">
        <v>143</v>
      </c>
      <c r="B25" s="40">
        <f>'Middle East 1995'!$D24/'Middle East 1995'!$L24</f>
        <v>1</v>
      </c>
      <c r="C25" s="40">
        <f>'Middle East 2000'!$D24/'Middle East 2000'!$L24</f>
        <v>0.99847254829858856</v>
      </c>
      <c r="D25" s="40">
        <f>'Middle East 2005'!$D24/'Middle East 2005'!$L24</f>
        <v>0.99252088324807353</v>
      </c>
      <c r="E25" s="40">
        <f>'Middle East 2010'!$D24/'Middle East 2010'!$L24</f>
        <v>0.9557512962307938</v>
      </c>
      <c r="F25" s="40">
        <f>'Middle East 2015'!$D24/'Middle East 2015'!$L24</f>
        <v>0.95155187105533012</v>
      </c>
      <c r="G25" s="40">
        <f>'Middle East 2018'!$D24/'Middle East 2018'!$L24</f>
        <v>0.94982210945583923</v>
      </c>
      <c r="H25" s="89">
        <f>1-H24-H26-H27-H28-H29-H30</f>
        <v>0.94982919672851496</v>
      </c>
      <c r="I25" s="89">
        <f>1-I24-I26-I27-I28-I29-I30</f>
        <v>0.94982919672851496</v>
      </c>
    </row>
    <row r="26" spans="1:9" x14ac:dyDescent="0.35">
      <c r="A26" s="30" t="s">
        <v>241</v>
      </c>
      <c r="B26" s="40">
        <f>'Middle East 1995'!$E24/'Middle East 1995'!$L24</f>
        <v>0</v>
      </c>
      <c r="C26" s="40">
        <f>'Middle East 2000'!$E24/'Middle East 2000'!$L24</f>
        <v>1.5133086301021129E-3</v>
      </c>
      <c r="D26" s="40">
        <f>'Middle East 2005'!$E24/'Middle East 2005'!$L24</f>
        <v>7.3819853655377838E-3</v>
      </c>
      <c r="E26" s="40">
        <f>'Middle East 2010'!$E24/'Middle East 2010'!$L24</f>
        <v>4.4015770448526052E-2</v>
      </c>
      <c r="F26" s="40">
        <f>'Middle East 2015'!$E24/'Middle East 2015'!$L24</f>
        <v>4.8101503487918661E-2</v>
      </c>
      <c r="G26" s="40">
        <f>'Middle East 2018'!$E24/'Middle East 2018'!$L24</f>
        <v>4.9880225091780181E-2</v>
      </c>
      <c r="H26" s="90">
        <f t="shared" si="0"/>
        <v>4.9880225091780181E-2</v>
      </c>
      <c r="I26" s="90">
        <f t="shared" si="0"/>
        <v>4.9880225091780181E-2</v>
      </c>
    </row>
    <row r="27" spans="1:9" x14ac:dyDescent="0.35">
      <c r="A27" s="30" t="s">
        <v>145</v>
      </c>
      <c r="B27" s="40">
        <f>'Middle East 1995'!$H24/'Middle East 1995'!$L24</f>
        <v>0</v>
      </c>
      <c r="C27" s="40">
        <f>'Middle East 2000'!$H24/'Middle East 2000'!$L24</f>
        <v>0</v>
      </c>
      <c r="D27" s="40">
        <f>'Middle East 2005'!$H24/'Middle East 2005'!$L24</f>
        <v>0</v>
      </c>
      <c r="E27" s="40">
        <f>'Middle East 2010'!$H24/'Middle East 2010'!$L24</f>
        <v>0</v>
      </c>
      <c r="F27" s="40">
        <f>'Middle East 2015'!$H24/'Middle East 2015'!$L24</f>
        <v>0</v>
      </c>
      <c r="G27" s="40">
        <f>'Middle East 2018'!$H24/'Middle East 2018'!$L24</f>
        <v>0</v>
      </c>
      <c r="H27" s="77">
        <f t="shared" si="0"/>
        <v>0</v>
      </c>
      <c r="I27" s="77">
        <f t="shared" si="0"/>
        <v>0</v>
      </c>
    </row>
    <row r="28" spans="1:9" x14ac:dyDescent="0.35">
      <c r="A28" s="30" t="s">
        <v>146</v>
      </c>
      <c r="B28" s="40">
        <f>'Middle East 1995'!$I24/'Middle East 1995'!$L24</f>
        <v>0</v>
      </c>
      <c r="C28" s="40">
        <f>'Middle East 2000'!$I24/'Middle East 2000'!$L24</f>
        <v>0</v>
      </c>
      <c r="D28" s="40">
        <f>'Middle East 2005'!$I24/'Middle East 2005'!$L24</f>
        <v>0</v>
      </c>
      <c r="E28" s="40">
        <f>'Middle East 2010'!$I24/'Middle East 2010'!$L24</f>
        <v>0</v>
      </c>
      <c r="F28" s="40">
        <f>'Middle East 2015'!$I24/'Middle East 2015'!$L24</f>
        <v>0</v>
      </c>
      <c r="G28" s="40">
        <f>'Middle East 2018'!$I24/'Middle East 2018'!$L24</f>
        <v>0</v>
      </c>
      <c r="H28" s="77">
        <f t="shared" si="0"/>
        <v>0</v>
      </c>
      <c r="I28" s="77">
        <f t="shared" si="0"/>
        <v>0</v>
      </c>
    </row>
    <row r="29" spans="1:9" x14ac:dyDescent="0.35">
      <c r="A29" s="30" t="s">
        <v>147</v>
      </c>
      <c r="B29" s="40">
        <f>'Middle East 1995'!$J24/'Middle East 1995'!$L24</f>
        <v>0</v>
      </c>
      <c r="C29" s="40">
        <f>'Middle East 2000'!$J24/'Middle East 2000'!$L24</f>
        <v>1.4143071309365542E-5</v>
      </c>
      <c r="D29" s="40">
        <f>'Middle East 2005'!$J24/'Middle East 2005'!$L24</f>
        <v>9.7131386388655055E-5</v>
      </c>
      <c r="E29" s="40">
        <f>'Middle East 2010'!$J24/'Middle East 2010'!$L24</f>
        <v>2.2430616065497399E-4</v>
      </c>
      <c r="F29" s="40">
        <f>'Middle East 2015'!$J24/'Middle East 2015'!$L24</f>
        <v>3.3940409306893512E-4</v>
      </c>
      <c r="G29" s="40">
        <f>'Middle East 2018'!$J24/'Middle East 2018'!$L24</f>
        <v>2.9057817970488595E-4</v>
      </c>
      <c r="H29" s="77">
        <f>G29</f>
        <v>2.9057817970488595E-4</v>
      </c>
      <c r="I29" s="77">
        <f t="shared" si="0"/>
        <v>2.9057817970488595E-4</v>
      </c>
    </row>
    <row r="30" spans="1:9" x14ac:dyDescent="0.35">
      <c r="A30" s="30" t="s">
        <v>148</v>
      </c>
      <c r="B30" s="40">
        <f>'Middle East 1995'!$K24/'Middle East 1995'!$L24</f>
        <v>0</v>
      </c>
      <c r="C30" s="40">
        <f>'Middle East 2000'!$K24/'Middle East 2000'!$L24</f>
        <v>0</v>
      </c>
      <c r="D30" s="40">
        <f>'Middle East 2005'!$K24/'Middle East 2005'!$L24</f>
        <v>0</v>
      </c>
      <c r="E30" s="40">
        <f>'Middle East 2010'!$K24/'Middle East 2010'!$L24</f>
        <v>0</v>
      </c>
      <c r="F30" s="40">
        <f>'Middle East 2015'!$K24/'Middle East 2015'!$L24</f>
        <v>0</v>
      </c>
      <c r="G30" s="40">
        <f>'Middle East 2018'!$K24/'Middle East 2018'!$L24</f>
        <v>0</v>
      </c>
      <c r="H30" s="77">
        <f t="shared" si="0"/>
        <v>0</v>
      </c>
      <c r="I30" s="77">
        <f t="shared" si="0"/>
        <v>0</v>
      </c>
    </row>
    <row r="31" spans="1:9" x14ac:dyDescent="0.35">
      <c r="A31" s="31" t="s">
        <v>150</v>
      </c>
      <c r="B31" s="81"/>
      <c r="C31" s="81"/>
      <c r="D31" s="81"/>
      <c r="E31" s="81"/>
      <c r="F31" s="81"/>
      <c r="G31" s="81"/>
      <c r="H31" s="42"/>
      <c r="I31" s="42"/>
    </row>
    <row r="32" spans="1:9" x14ac:dyDescent="0.35">
      <c r="A32" s="30" t="s">
        <v>141</v>
      </c>
      <c r="B32" s="40">
        <f>'Middle East 1995'!$B$25/'Middle East 1995'!$L$25</f>
        <v>4.7895269011760948E-4</v>
      </c>
      <c r="C32" s="40">
        <f>'Middle East 2000'!$B$25/'Middle East 2000'!$L$25</f>
        <v>3.834355828220859E-4</v>
      </c>
      <c r="D32" s="40">
        <f>'Middle East 2005'!$B$25/'Middle East 2005'!$L$25</f>
        <v>1.3979931032340241E-4</v>
      </c>
      <c r="E32" s="40">
        <f>'Middle East 2010'!$B$25/'Middle East 2010'!$L$25</f>
        <v>1.1766705453214271E-4</v>
      </c>
      <c r="F32" s="40">
        <f>'Middle East 2015'!$B$25/'Middle East 2015'!$L$25</f>
        <v>1.0829803619561032E-4</v>
      </c>
      <c r="G32" s="40">
        <f>'Middle East 2018'!$B$25/'Middle East 2018'!$L$25</f>
        <v>1.0307035124085251E-4</v>
      </c>
      <c r="H32" s="77">
        <f t="shared" si="0"/>
        <v>1.0307035124085251E-4</v>
      </c>
      <c r="I32" s="77">
        <f t="shared" si="0"/>
        <v>1.0307035124085251E-4</v>
      </c>
    </row>
    <row r="33" spans="1:9" x14ac:dyDescent="0.35">
      <c r="A33" s="30" t="s">
        <v>143</v>
      </c>
      <c r="B33" s="40">
        <f>'Middle East 1995'!$D$25/'Middle East 1995'!$L$25</f>
        <v>0.4972061093076473</v>
      </c>
      <c r="C33" s="40">
        <f>'Middle East 2000'!$D$25/'Middle East 2000'!$L$25</f>
        <v>0.39212678936605316</v>
      </c>
      <c r="D33" s="40">
        <f>'Middle East 2005'!$D$25/'Middle East 2005'!$L$25</f>
        <v>0.30202864332535961</v>
      </c>
      <c r="E33" s="40">
        <f>'Middle East 2010'!$D$25/'Middle East 2010'!$L$25</f>
        <v>0.20885902179455332</v>
      </c>
      <c r="F33" s="40">
        <f>'Middle East 2015'!$D$25/'Middle East 2015'!$L$25</f>
        <v>0.14779072006160954</v>
      </c>
      <c r="G33" s="40">
        <f>'Middle East 2018'!$D$25/'Middle East 2018'!$L$25</f>
        <v>0.15004752688418327</v>
      </c>
      <c r="H33" s="77">
        <f t="shared" si="0"/>
        <v>0.15004752688418327</v>
      </c>
      <c r="I33" s="77">
        <f t="shared" si="0"/>
        <v>0.15004752688418327</v>
      </c>
    </row>
    <row r="34" spans="1:9" x14ac:dyDescent="0.35">
      <c r="A34" s="30" t="s">
        <v>241</v>
      </c>
      <c r="B34" s="40">
        <f>'Middle East 1995'!$E$25/'Middle East 1995'!$L$25</f>
        <v>0.25046564844872543</v>
      </c>
      <c r="C34" s="40">
        <f>'Middle East 2000'!$E$25/'Middle East 2000'!$L$25</f>
        <v>0.34611451942740284</v>
      </c>
      <c r="D34" s="40">
        <f>'Middle East 2005'!$E$25/'Middle East 2005'!$L$25</f>
        <v>0.41394575786759452</v>
      </c>
      <c r="E34" s="40">
        <f>'Middle East 2010'!$E$25/'Middle East 2010'!$L$25</f>
        <v>0.45202452704381135</v>
      </c>
      <c r="F34" s="40">
        <f>'Middle East 2015'!$E$25/'Middle East 2015'!$L$25</f>
        <v>0.47412880246438199</v>
      </c>
      <c r="G34" s="40">
        <f>'Middle East 2018'!$E$25/'Middle East 2018'!$L$25</f>
        <v>0.47065358054947948</v>
      </c>
      <c r="H34" s="77">
        <f t="shared" si="0"/>
        <v>0.47065358054947948</v>
      </c>
      <c r="I34" s="77">
        <f t="shared" si="0"/>
        <v>0.47065358054947948</v>
      </c>
    </row>
    <row r="35" spans="1:9" x14ac:dyDescent="0.35">
      <c r="A35" s="30" t="s">
        <v>145</v>
      </c>
      <c r="B35" s="40">
        <f>'Middle East 1995'!$H$25/'Middle East 1995'!$L$25</f>
        <v>1.4102495875685168E-3</v>
      </c>
      <c r="C35" s="40">
        <f>'Middle East 2000'!$H$25/'Middle East 2000'!$L$25</f>
        <v>1.3633265167007499E-3</v>
      </c>
      <c r="D35" s="40">
        <f>'Middle East 2005'!$H$25/'Middle East 2005'!$L$25</f>
        <v>1.0562614557768182E-3</v>
      </c>
      <c r="E35" s="40">
        <f>'Middle East 2010'!$H$25/'Middle East 2010'!$L$25</f>
        <v>1.5427458260880934E-3</v>
      </c>
      <c r="F35" s="40">
        <f>'Middle East 2015'!$H$25/'Middle East 2015'!$L$25</f>
        <v>1.9012321909896034E-3</v>
      </c>
      <c r="G35" s="40">
        <f>'Middle East 2018'!$H$25/'Middle East 2018'!$L$25</f>
        <v>2.2904522497967225E-3</v>
      </c>
      <c r="H35" s="77">
        <f t="shared" si="0"/>
        <v>2.2904522497967225E-3</v>
      </c>
      <c r="I35" s="77">
        <f t="shared" si="0"/>
        <v>2.2904522497967225E-3</v>
      </c>
    </row>
    <row r="36" spans="1:9" x14ac:dyDescent="0.35">
      <c r="A36" s="30" t="s">
        <v>146</v>
      </c>
      <c r="B36" s="40">
        <f>'Middle East 1995'!$I$25/'Middle East 1995'!$L$25</f>
        <v>6.3860358682347931E-3</v>
      </c>
      <c r="C36" s="40">
        <f>'Middle East 2000'!$I$25/'Middle East 2000'!$L$25</f>
        <v>3.8769597818677573E-3</v>
      </c>
      <c r="D36" s="40">
        <f>'Middle East 2005'!$I$25/'Middle East 2005'!$L$25</f>
        <v>6.7414334089285158E-3</v>
      </c>
      <c r="E36" s="40">
        <f>'Middle East 2010'!$I$25/'Middle East 2010'!$L$25</f>
        <v>5.6480186175428505E-3</v>
      </c>
      <c r="F36" s="40">
        <f>'Middle East 2015'!$I$25/'Middle East 2015'!$L$25</f>
        <v>4.5124181748170964E-3</v>
      </c>
      <c r="G36" s="40">
        <f>'Middle East 2018'!$I$25/'Middle East 2018'!$L$25</f>
        <v>4.9015678145649857E-3</v>
      </c>
      <c r="H36" s="77">
        <f t="shared" si="0"/>
        <v>4.9015678145649857E-3</v>
      </c>
      <c r="I36" s="77">
        <f t="shared" si="0"/>
        <v>4.9015678145649857E-3</v>
      </c>
    </row>
    <row r="37" spans="1:9" x14ac:dyDescent="0.35">
      <c r="A37" s="30" t="s">
        <v>147</v>
      </c>
      <c r="B37" s="40">
        <f>'Middle East 1995'!$J$25/'Middle East 1995'!$L$25</f>
        <v>0.24405300409770636</v>
      </c>
      <c r="C37" s="40">
        <f>'Middle East 2000'!$J$25/'Middle East 2000'!$L$25</f>
        <v>0.25609236537150648</v>
      </c>
      <c r="D37" s="40">
        <f>'Middle East 2005'!$J$25/'Middle East 2005'!$L$25</f>
        <v>0.27610363788871972</v>
      </c>
      <c r="E37" s="40">
        <f>'Middle East 2010'!$J$25/'Middle East 2010'!$L$25</f>
        <v>0.33183416789781273</v>
      </c>
      <c r="F37" s="40">
        <f>'Middle East 2015'!$J$25/'Middle East 2015'!$L$25</f>
        <v>0.37152242972660765</v>
      </c>
      <c r="G37" s="40">
        <f>'Middle East 2018'!$J$25/'Middle East 2018'!$L$25</f>
        <v>0.37203815893448161</v>
      </c>
      <c r="H37" s="89">
        <f>1-H38-H36-H35-H34-H33-H32</f>
        <v>0.3720038021507347</v>
      </c>
      <c r="I37" s="89">
        <f>1-I38-I36-I35-I34-I33-I32</f>
        <v>0.3720038021507347</v>
      </c>
    </row>
    <row r="38" spans="1:9" x14ac:dyDescent="0.35">
      <c r="A38" s="30" t="s">
        <v>148</v>
      </c>
      <c r="B38" s="40">
        <f>'Middle East 1995'!$K$25/'Middle East 1995'!$L$25</f>
        <v>0</v>
      </c>
      <c r="C38" s="40">
        <f>'Middle East 2000'!$K$25/'Middle East 2000'!$L$25</f>
        <v>0</v>
      </c>
      <c r="D38" s="40">
        <f>'Middle East 2005'!$K$25/'Middle East 2005'!$L$25</f>
        <v>0</v>
      </c>
      <c r="E38" s="40">
        <f>'Middle East 2010'!$K$25/'Middle East 2010'!$L$25</f>
        <v>0</v>
      </c>
      <c r="F38" s="40">
        <f>'Middle East 2015'!$K$25/'Middle East 2015'!$L$25</f>
        <v>0</v>
      </c>
      <c r="G38" s="40">
        <f>'Middle East 2018'!$K$25/'Middle East 2018'!$L$25</f>
        <v>0</v>
      </c>
      <c r="H38" s="88">
        <f t="shared" si="0"/>
        <v>0</v>
      </c>
      <c r="I38" s="88">
        <f t="shared" si="0"/>
        <v>0</v>
      </c>
    </row>
    <row r="39" spans="1:9" x14ac:dyDescent="0.35">
      <c r="A39" s="31" t="s">
        <v>151</v>
      </c>
      <c r="B39" s="81"/>
      <c r="C39" s="81"/>
      <c r="D39" s="81"/>
      <c r="E39" s="81"/>
      <c r="F39" s="81"/>
      <c r="G39" s="81"/>
      <c r="H39" s="42"/>
      <c r="I39" s="42"/>
    </row>
    <row r="40" spans="1:9" x14ac:dyDescent="0.35">
      <c r="A40" s="30" t="s">
        <v>141</v>
      </c>
      <c r="B40" s="40">
        <f>'Middle East 1995'!$B$26/'Middle East 1995'!$L$26</f>
        <v>0</v>
      </c>
      <c r="C40" s="40">
        <f>'Middle East 2000'!$B$26/'Middle East 2000'!$L$26</f>
        <v>0</v>
      </c>
      <c r="D40" s="40">
        <f>'Middle East 2005'!$B$26/'Middle East 2005'!$L$26</f>
        <v>0</v>
      </c>
      <c r="E40" s="40">
        <f>'Middle East 2010'!$B$26/'Middle East 2010'!$L$26</f>
        <v>0</v>
      </c>
      <c r="F40" s="40">
        <f>'Middle East 2015'!$B$26/'Middle East 2015'!$L$26</f>
        <v>0</v>
      </c>
      <c r="G40" s="40">
        <f>'Middle East 2018'!$B$26/'Middle East 2018'!$L$26</f>
        <v>0</v>
      </c>
      <c r="H40" s="77">
        <f t="shared" si="0"/>
        <v>0</v>
      </c>
      <c r="I40" s="77">
        <f t="shared" si="0"/>
        <v>0</v>
      </c>
    </row>
    <row r="41" spans="1:9" x14ac:dyDescent="0.35">
      <c r="A41" s="30" t="s">
        <v>143</v>
      </c>
      <c r="B41" s="40">
        <f>'Middle East 1995'!$D$26/'Middle East 1995'!$L$26</f>
        <v>0.38918029414789673</v>
      </c>
      <c r="C41" s="40">
        <f>'Middle East 2000'!$D$26/'Middle East 2000'!$L$26</f>
        <v>0.32623604465709727</v>
      </c>
      <c r="D41" s="40">
        <f>'Middle East 2005'!$D$26/'Middle East 2005'!$L$26</f>
        <v>0.2675144373796885</v>
      </c>
      <c r="E41" s="40">
        <f>'Middle East 2010'!$D$26/'Middle East 2010'!$L$26</f>
        <v>0.14960597089605138</v>
      </c>
      <c r="F41" s="40">
        <f>'Middle East 2015'!$D$26/'Middle East 2015'!$L$26</f>
        <v>5.4653828519027968E-2</v>
      </c>
      <c r="G41" s="40">
        <f>'Middle East 2018'!$D$26/'Middle East 2018'!$L$26</f>
        <v>3.3846153846153845E-2</v>
      </c>
      <c r="H41" s="77">
        <f t="shared" si="0"/>
        <v>3.3846153846153845E-2</v>
      </c>
      <c r="I41" s="77">
        <f t="shared" si="0"/>
        <v>3.3846153846153845E-2</v>
      </c>
    </row>
    <row r="42" spans="1:9" x14ac:dyDescent="0.35">
      <c r="A42" s="30" t="s">
        <v>241</v>
      </c>
      <c r="B42" s="40">
        <f>'Middle East 1995'!$E$26/'Middle East 1995'!$L$26</f>
        <v>0.12886969042476601</v>
      </c>
      <c r="C42" s="40">
        <f>'Middle East 2000'!$E$26/'Middle East 2000'!$L$26</f>
        <v>0.18317384370015949</v>
      </c>
      <c r="D42" s="40">
        <f>'Middle East 2005'!$E$26/'Middle East 2005'!$L$26</f>
        <v>0.21192323397305021</v>
      </c>
      <c r="E42" s="40">
        <f>'Middle East 2010'!$E$26/'Middle East 2010'!$L$26</f>
        <v>0.28511862569319935</v>
      </c>
      <c r="F42" s="40">
        <f>'Middle East 2015'!$E$26/'Middle East 2015'!$L$26</f>
        <v>0.32080085587650925</v>
      </c>
      <c r="G42" s="40">
        <f>'Middle East 2018'!$E$26/'Middle East 2018'!$L$26</f>
        <v>0.34566874566874567</v>
      </c>
      <c r="H42" s="77">
        <f t="shared" si="0"/>
        <v>0.34566874566874567</v>
      </c>
      <c r="I42" s="77">
        <f t="shared" si="0"/>
        <v>0.34566874566874567</v>
      </c>
    </row>
    <row r="43" spans="1:9" x14ac:dyDescent="0.35">
      <c r="A43" s="30" t="s">
        <v>145</v>
      </c>
      <c r="B43" s="40">
        <f>'Middle East 1995'!$H$26/'Middle East 1995'!$L$26</f>
        <v>0</v>
      </c>
      <c r="C43" s="40">
        <f>'Middle East 2000'!$H$26/'Middle East 2000'!$L$26</f>
        <v>3.1897926634768739E-4</v>
      </c>
      <c r="D43" s="40">
        <f>'Middle East 2005'!$H$26/'Middle East 2005'!$L$26</f>
        <v>3.4999708335763867E-4</v>
      </c>
      <c r="E43" s="40">
        <f>'Middle East 2010'!$H$26/'Middle East 2010'!$L$26</f>
        <v>8.7562023099695618E-4</v>
      </c>
      <c r="F43" s="40">
        <f>'Middle East 2015'!$H$26/'Middle East 2015'!$L$26</f>
        <v>1.4672168729940394E-3</v>
      </c>
      <c r="G43" s="40">
        <f>'Middle East 2018'!$H$26/'Middle East 2018'!$L$26</f>
        <v>1.995841995841996E-3</v>
      </c>
      <c r="H43" s="77">
        <f t="shared" si="0"/>
        <v>1.995841995841996E-3</v>
      </c>
      <c r="I43" s="77">
        <f t="shared" si="0"/>
        <v>1.995841995841996E-3</v>
      </c>
    </row>
    <row r="44" spans="1:9" x14ac:dyDescent="0.35">
      <c r="A44" s="30" t="s">
        <v>146</v>
      </c>
      <c r="B44" s="40">
        <f>'Middle East 1995'!$I$26/'Middle East 1995'!$L$26</f>
        <v>7.6108197058521029E-3</v>
      </c>
      <c r="C44" s="40">
        <f>'Middle East 2000'!$I$26/'Middle East 2000'!$L$26</f>
        <v>4.5454545454545452E-3</v>
      </c>
      <c r="D44" s="40">
        <f>'Middle East 2005'!$I$26/'Middle East 2005'!$L$26</f>
        <v>1.6683194306714111E-2</v>
      </c>
      <c r="E44" s="40">
        <f>'Middle East 2010'!$I$26/'Middle East 2010'!$L$26</f>
        <v>1.2759037651669932E-2</v>
      </c>
      <c r="F44" s="40">
        <f>'Middle East 2015'!$I$26/'Middle East 2015'!$L$26</f>
        <v>7.580620510469204E-3</v>
      </c>
      <c r="G44" s="40">
        <f>'Middle East 2018'!$I$26/'Middle East 2018'!$L$26</f>
        <v>7.4289674289674291E-3</v>
      </c>
      <c r="H44" s="77">
        <f t="shared" si="0"/>
        <v>7.4289674289674291E-3</v>
      </c>
      <c r="I44" s="77">
        <f t="shared" si="0"/>
        <v>7.4289674289674291E-3</v>
      </c>
    </row>
    <row r="45" spans="1:9" x14ac:dyDescent="0.35">
      <c r="A45" s="30" t="s">
        <v>147</v>
      </c>
      <c r="B45" s="40">
        <f>'Middle East 1995'!$J$26/'Middle East 1995'!$L$26</f>
        <v>0.47433919572148514</v>
      </c>
      <c r="C45" s="40">
        <f>'Middle East 2000'!$J$26/'Middle East 2000'!$L$26</f>
        <v>0.48556618819776715</v>
      </c>
      <c r="D45" s="40">
        <f>'Middle East 2005'!$J$26/'Middle East 2005'!$L$26</f>
        <v>0.50347080440996328</v>
      </c>
      <c r="E45" s="40">
        <f>'Middle East 2010'!$J$26/'Middle East 2010'!$L$26</f>
        <v>0.5516407455280824</v>
      </c>
      <c r="F45" s="40">
        <f>'Middle East 2015'!$J$26/'Middle East 2015'!$L$26</f>
        <v>0.61552804523918692</v>
      </c>
      <c r="G45" s="40">
        <f>'Middle East 2018'!$J$26/'Middle East 2018'!$L$26</f>
        <v>0.61108801108801114</v>
      </c>
      <c r="H45" s="89">
        <f>1-H46-H44-H43-H42-H41-H40</f>
        <v>0.61106029106029092</v>
      </c>
      <c r="I45" s="89">
        <f>1-I46-I44-I43-I42-I41-I40</f>
        <v>0.61106029106029092</v>
      </c>
    </row>
    <row r="46" spans="1:9" x14ac:dyDescent="0.35">
      <c r="A46" s="30" t="s">
        <v>148</v>
      </c>
      <c r="B46" s="40">
        <f>'Middle East 1995'!$K$26/'Middle East 1995'!$L$26</f>
        <v>0</v>
      </c>
      <c r="C46" s="40">
        <f>'Middle East 2000'!$K$26/'Middle East 2000'!$L$26</f>
        <v>0</v>
      </c>
      <c r="D46" s="40">
        <f>'Middle East 2005'!$K$26/'Middle East 2005'!$L$26</f>
        <v>0</v>
      </c>
      <c r="E46" s="40">
        <f>'Middle East 2010'!$K$26/'Middle East 2010'!$L$26</f>
        <v>0</v>
      </c>
      <c r="F46" s="40">
        <f>'Middle East 2015'!$K$26/'Middle East 2015'!$L$26</f>
        <v>0</v>
      </c>
      <c r="G46" s="40">
        <f>'Middle East 2018'!$K$26/'Middle East 2018'!$L$26</f>
        <v>0</v>
      </c>
      <c r="H46" s="77">
        <f t="shared" si="0"/>
        <v>0</v>
      </c>
      <c r="I46" s="77">
        <f t="shared" si="0"/>
        <v>0</v>
      </c>
    </row>
    <row r="47" spans="1:9" x14ac:dyDescent="0.35">
      <c r="A47" s="31" t="s">
        <v>152</v>
      </c>
      <c r="B47" s="81"/>
      <c r="C47" s="81"/>
      <c r="D47" s="81"/>
      <c r="E47" s="81"/>
      <c r="F47" s="81"/>
      <c r="G47" s="81"/>
      <c r="H47" s="42"/>
      <c r="I47" s="42"/>
    </row>
    <row r="48" spans="1:9" x14ac:dyDescent="0.35">
      <c r="A48" s="30" t="s">
        <v>141</v>
      </c>
      <c r="B48" s="40">
        <f>'Middle East 1995'!$B$27/'Middle East 1995'!$L$27</f>
        <v>0</v>
      </c>
      <c r="C48" s="40">
        <f>'Middle East 2000'!$B$27/'Middle East 2000'!$L$27</f>
        <v>0</v>
      </c>
      <c r="D48" s="40">
        <f>'Middle East 2005'!$B$27/'Middle East 2005'!$L$27</f>
        <v>0</v>
      </c>
      <c r="E48" s="40">
        <f>'Middle East 2010'!$B$27/'Middle East 2010'!$L$27</f>
        <v>0</v>
      </c>
      <c r="F48" s="40">
        <f>'Middle East 2015'!$B$27/'Middle East 2015'!$L$27</f>
        <v>0</v>
      </c>
      <c r="G48" s="40">
        <f>'Middle East 2018'!$B$27/'Middle East 2018'!$L$27</f>
        <v>0</v>
      </c>
      <c r="H48" s="77">
        <f t="shared" si="0"/>
        <v>0</v>
      </c>
      <c r="I48" s="77">
        <f t="shared" si="0"/>
        <v>0</v>
      </c>
    </row>
    <row r="49" spans="1:9" x14ac:dyDescent="0.35">
      <c r="A49" s="30" t="s">
        <v>143</v>
      </c>
      <c r="B49" s="40">
        <f>'Middle East 1995'!$D$27/'Middle East 1995'!$L$27</f>
        <v>0.85467932571207128</v>
      </c>
      <c r="C49" s="40">
        <f>'Middle East 2000'!$D$27/'Middle East 2000'!$L$27</f>
        <v>0.80388563049853368</v>
      </c>
      <c r="D49" s="40">
        <f>'Middle East 2005'!$D$27/'Middle East 2005'!$L$27</f>
        <v>0.72417417417417418</v>
      </c>
      <c r="E49" s="40">
        <f>'Middle East 2010'!$D$27/'Middle East 2010'!$L$27</f>
        <v>0.61095287415846711</v>
      </c>
      <c r="F49" s="40">
        <f>'Middle East 2015'!$D$27/'Middle East 2015'!$L$27</f>
        <v>0.36565364206464063</v>
      </c>
      <c r="G49" s="40">
        <f>'Middle East 2018'!$D$27/'Middle East 2018'!$L$27</f>
        <v>0.32683254875588436</v>
      </c>
      <c r="H49" s="77">
        <f t="shared" si="0"/>
        <v>0.32683254875588436</v>
      </c>
      <c r="I49" s="77">
        <f t="shared" si="0"/>
        <v>0.32683254875588436</v>
      </c>
    </row>
    <row r="50" spans="1:9" x14ac:dyDescent="0.35">
      <c r="A50" s="30" t="s">
        <v>241</v>
      </c>
      <c r="B50" s="40">
        <f>'Middle East 1995'!$E$27/'Middle East 1995'!$L$27</f>
        <v>0</v>
      </c>
      <c r="C50" s="40">
        <f>'Middle East 2000'!$E$27/'Middle East 2000'!$L$27</f>
        <v>0</v>
      </c>
      <c r="D50" s="40">
        <f>'Middle East 2005'!$E$27/'Middle East 2005'!$L$27</f>
        <v>0</v>
      </c>
      <c r="E50" s="40">
        <f>'Middle East 2010'!$E$27/'Middle East 2010'!$L$27</f>
        <v>5.178663904712584E-2</v>
      </c>
      <c r="F50" s="40">
        <f>'Middle East 2015'!$E$27/'Middle East 2015'!$L$27</f>
        <v>0.16726965750120598</v>
      </c>
      <c r="G50" s="40">
        <f>'Middle East 2018'!$E$27/'Middle East 2018'!$L$27</f>
        <v>0.21452589105581707</v>
      </c>
      <c r="H50" s="77">
        <f t="shared" si="0"/>
        <v>0.21452589105581707</v>
      </c>
      <c r="I50" s="77">
        <f t="shared" si="0"/>
        <v>0.21452589105581707</v>
      </c>
    </row>
    <row r="51" spans="1:9" x14ac:dyDescent="0.35">
      <c r="A51" s="30" t="s">
        <v>145</v>
      </c>
      <c r="B51" s="40">
        <f>'Middle East 1995'!$H$27/'Middle East 1995'!$L$27</f>
        <v>0</v>
      </c>
      <c r="C51" s="40">
        <f>'Middle East 2000'!$H$27/'Middle East 2000'!$L$27</f>
        <v>0</v>
      </c>
      <c r="D51" s="40">
        <f>'Middle East 2005'!$H$27/'Middle East 2005'!$L$27</f>
        <v>0</v>
      </c>
      <c r="E51" s="40">
        <f>'Middle East 2010'!$H$27/'Middle East 2010'!$L$27</f>
        <v>0</v>
      </c>
      <c r="F51" s="40">
        <f>'Middle East 2015'!$H$27/'Middle East 2015'!$L$27</f>
        <v>0</v>
      </c>
      <c r="G51" s="40">
        <f>'Middle East 2018'!$H$27/'Middle East 2018'!$L$27</f>
        <v>0</v>
      </c>
      <c r="H51" s="77">
        <f t="shared" si="0"/>
        <v>0</v>
      </c>
      <c r="I51" s="77">
        <f t="shared" si="0"/>
        <v>0</v>
      </c>
    </row>
    <row r="52" spans="1:9" x14ac:dyDescent="0.35">
      <c r="A52" s="30" t="s">
        <v>146</v>
      </c>
      <c r="B52" s="40">
        <f>'Middle East 1995'!$I$27/'Middle East 1995'!$L$27</f>
        <v>0</v>
      </c>
      <c r="C52" s="40">
        <f>'Middle East 2000'!$I$27/'Middle East 2000'!$L$27</f>
        <v>0</v>
      </c>
      <c r="D52" s="40">
        <f>'Middle East 2005'!$I$27/'Middle East 2005'!$L$27</f>
        <v>0</v>
      </c>
      <c r="E52" s="40">
        <f>'Middle East 2010'!$I$27/'Middle East 2010'!$L$27</f>
        <v>0</v>
      </c>
      <c r="F52" s="40">
        <f>'Middle East 2015'!$I$27/'Middle East 2015'!$L$27</f>
        <v>0</v>
      </c>
      <c r="G52" s="40">
        <f>'Middle East 2018'!$I$27/'Middle East 2018'!$L$27</f>
        <v>0</v>
      </c>
      <c r="H52" s="77">
        <f t="shared" si="0"/>
        <v>0</v>
      </c>
      <c r="I52" s="77">
        <f t="shared" si="0"/>
        <v>0</v>
      </c>
    </row>
    <row r="53" spans="1:9" x14ac:dyDescent="0.35">
      <c r="A53" s="30" t="s">
        <v>147</v>
      </c>
      <c r="B53" s="40">
        <f>'Middle East 1995'!$J$27/'Middle East 1995'!$L$27</f>
        <v>0.14512691338887812</v>
      </c>
      <c r="C53" s="40">
        <f>'Middle East 2000'!$J$27/'Middle East 2000'!$L$27</f>
        <v>0.19611436950146627</v>
      </c>
      <c r="D53" s="40">
        <f>'Middle East 2005'!$J$27/'Middle East 2005'!$L$27</f>
        <v>0.27582582582582582</v>
      </c>
      <c r="E53" s="40">
        <f>'Middle East 2010'!$J$27/'Middle East 2010'!$L$27</f>
        <v>0.33726048679440707</v>
      </c>
      <c r="F53" s="40">
        <f>'Middle East 2015'!$J$27/'Middle East 2015'!$L$27</f>
        <v>0.46695610226724554</v>
      </c>
      <c r="G53" s="40">
        <f>'Middle East 2018'!$J$27/'Middle East 2018'!$L$27</f>
        <v>0.4586415601882986</v>
      </c>
      <c r="H53" s="89">
        <f>1-H54-H52-H51-H50-H49-H48</f>
        <v>0.45864156018829855</v>
      </c>
      <c r="I53" s="89">
        <f>1-I54-I52-I51-I50-I49-I48</f>
        <v>0.45864156018829855</v>
      </c>
    </row>
    <row r="54" spans="1:9" x14ac:dyDescent="0.35">
      <c r="A54" s="30" t="s">
        <v>148</v>
      </c>
      <c r="B54" s="40">
        <f>'Middle East 1995'!$K$27/'Middle East 1995'!$L$27</f>
        <v>0</v>
      </c>
      <c r="C54" s="40">
        <f>'Middle East 2000'!$K$27/'Middle East 2000'!$L$27</f>
        <v>0</v>
      </c>
      <c r="D54" s="40">
        <f>'Middle East 2005'!$K$27/'Middle East 2005'!$L$27</f>
        <v>0</v>
      </c>
      <c r="E54" s="40">
        <f>'Middle East 2010'!$K$27/'Middle East 2010'!$L$27</f>
        <v>0</v>
      </c>
      <c r="F54" s="40">
        <f>'Middle East 2015'!$K$27/'Middle East 2015'!$L$27</f>
        <v>0</v>
      </c>
      <c r="G54" s="40">
        <f>'Middle East 2018'!$K$27/'Middle East 2018'!$L$27</f>
        <v>0</v>
      </c>
      <c r="H54" s="77">
        <f t="shared" si="0"/>
        <v>0</v>
      </c>
      <c r="I54" s="77">
        <f t="shared" si="0"/>
        <v>0</v>
      </c>
    </row>
    <row r="55" spans="1:9" x14ac:dyDescent="0.35">
      <c r="A55" s="31" t="s">
        <v>153</v>
      </c>
      <c r="B55" s="81"/>
      <c r="C55" s="81"/>
      <c r="D55" s="81"/>
      <c r="E55" s="81"/>
      <c r="F55" s="81"/>
      <c r="G55" s="81"/>
      <c r="H55" s="42"/>
      <c r="I55" s="42"/>
    </row>
    <row r="56" spans="1:9" x14ac:dyDescent="0.35">
      <c r="A56" s="30" t="s">
        <v>141</v>
      </c>
      <c r="B56" s="40">
        <f>'Middle East 1995'!$B$28/IF('Middle East 1995'!$L$28=0,1,'Middle East 1995'!$L$28)</f>
        <v>0</v>
      </c>
      <c r="C56" s="40">
        <f>'Middle East 2000'!$B$28/IF('Middle East 2000'!$L$28=0,1,'Middle East 2000'!$L$28)</f>
        <v>0</v>
      </c>
      <c r="D56" s="40">
        <f>'Middle East 2005'!$B$28/IF('Middle East 2005'!$L$28=0,1,'Middle East 2005'!$L$28)</f>
        <v>0</v>
      </c>
      <c r="E56" s="40">
        <f>'Middle East 2010'!$B$28/IF('Middle East 2010'!$L$28=0,1,'Middle East 2010'!$L$28)</f>
        <v>0</v>
      </c>
      <c r="F56" s="40">
        <f>'Middle East 2015'!$B$28/IF('Middle East 2015'!$L$28=0,1,'Middle East 2015'!$L$28)</f>
        <v>0</v>
      </c>
      <c r="G56" s="40">
        <f>'Middle East 2018'!$B$28/IF('Middle East 2018'!$L$28=0,1,'Middle East 2018'!$L$28)</f>
        <v>0</v>
      </c>
      <c r="H56" s="77">
        <f t="shared" si="0"/>
        <v>0</v>
      </c>
      <c r="I56" s="77">
        <f t="shared" si="0"/>
        <v>0</v>
      </c>
    </row>
    <row r="57" spans="1:9" x14ac:dyDescent="0.35">
      <c r="A57" s="30" t="s">
        <v>143</v>
      </c>
      <c r="B57" s="40">
        <f>'Middle East 1995'!$D$28/IF('Middle East 1995'!$L$28=0,1,'Middle East 1995'!$L$28)</f>
        <v>0</v>
      </c>
      <c r="C57" s="40">
        <f>'Middle East 2000'!$D$28/IF('Middle East 2000'!$L$28=0,1,'Middle East 2000'!$L$28)</f>
        <v>0</v>
      </c>
      <c r="D57" s="40">
        <f>'Middle East 2005'!$D$28/IF('Middle East 2005'!$L$28=0,1,'Middle East 2005'!$L$28)</f>
        <v>0</v>
      </c>
      <c r="E57" s="40">
        <f>'Middle East 2010'!$D$28/IF('Middle East 2010'!$L$28=0,1,'Middle East 2010'!$L$28)</f>
        <v>0</v>
      </c>
      <c r="F57" s="40">
        <f>'Middle East 2015'!$D$28/IF('Middle East 2015'!$L$28=0,1,'Middle East 2015'!$L$28)</f>
        <v>0</v>
      </c>
      <c r="G57" s="40">
        <f>'Middle East 2018'!$D$28/IF('Middle East 2018'!$L$28=0,1,'Middle East 2018'!$L$28)</f>
        <v>0</v>
      </c>
      <c r="H57" s="77">
        <f t="shared" si="0"/>
        <v>0</v>
      </c>
      <c r="I57" s="77">
        <f t="shared" si="0"/>
        <v>0</v>
      </c>
    </row>
    <row r="58" spans="1:9" x14ac:dyDescent="0.35">
      <c r="A58" s="30" t="s">
        <v>241</v>
      </c>
      <c r="B58" s="40">
        <f>'Middle East 1995'!$E$28/IF('Middle East 1995'!$L$28=0,1,'Middle East 1995'!$L$28)</f>
        <v>0</v>
      </c>
      <c r="C58" s="40">
        <f>'Middle East 2000'!$E$28/IF('Middle East 2000'!$L$28=0,1,'Middle East 2000'!$L$28)</f>
        <v>0</v>
      </c>
      <c r="D58" s="40">
        <f>'Middle East 2005'!$E$28/IF('Middle East 2005'!$L$28=0,1,'Middle East 2005'!$L$28)</f>
        <v>0</v>
      </c>
      <c r="E58" s="40">
        <f>'Middle East 2010'!$E$28/IF('Middle East 2010'!$L$28=0,1,'Middle East 2010'!$L$28)</f>
        <v>0</v>
      </c>
      <c r="F58" s="40">
        <f>'Middle East 2015'!$E$28/IF('Middle East 2015'!$L$28=0,1,'Middle East 2015'!$L$28)</f>
        <v>0</v>
      </c>
      <c r="G58" s="40">
        <f>'Middle East 2018'!$E$28/IF('Middle East 2018'!$L$28=0,1,'Middle East 2018'!$L$28)</f>
        <v>0</v>
      </c>
      <c r="H58" s="77">
        <f t="shared" si="0"/>
        <v>0</v>
      </c>
      <c r="I58" s="77">
        <f t="shared" si="0"/>
        <v>0</v>
      </c>
    </row>
    <row r="59" spans="1:9" x14ac:dyDescent="0.35">
      <c r="A59" s="30" t="s">
        <v>145</v>
      </c>
      <c r="B59" s="40">
        <f>'Middle East 1995'!$H$28/IF('Middle East 1995'!$L$28=0,1,'Middle East 1995'!$L$28)</f>
        <v>0</v>
      </c>
      <c r="C59" s="40">
        <f>'Middle East 2000'!$H$28/IF('Middle East 2000'!$L$28=0,1,'Middle East 2000'!$L$28)</f>
        <v>0</v>
      </c>
      <c r="D59" s="40">
        <f>'Middle East 2005'!$H$28/IF('Middle East 2005'!$L$28=0,1,'Middle East 2005'!$L$28)</f>
        <v>0</v>
      </c>
      <c r="E59" s="40">
        <f>'Middle East 2010'!$H$28/IF('Middle East 2010'!$L$28=0,1,'Middle East 2010'!$L$28)</f>
        <v>0</v>
      </c>
      <c r="F59" s="40">
        <f>'Middle East 2015'!$H$28/IF('Middle East 2015'!$L$28=0,1,'Middle East 2015'!$L$28)</f>
        <v>0</v>
      </c>
      <c r="G59" s="40">
        <f>'Middle East 2018'!$H$28/IF('Middle East 2018'!$L$28=0,1,'Middle East 2018'!$L$28)</f>
        <v>0</v>
      </c>
      <c r="H59" s="77">
        <f t="shared" si="0"/>
        <v>0</v>
      </c>
      <c r="I59" s="77">
        <f t="shared" si="0"/>
        <v>0</v>
      </c>
    </row>
    <row r="60" spans="1:9" x14ac:dyDescent="0.35">
      <c r="A60" s="30" t="s">
        <v>146</v>
      </c>
      <c r="B60" s="40">
        <f>'Middle East 1995'!$I$28/IF('Middle East 1995'!$L$28=0,1,'Middle East 1995'!$L$28)</f>
        <v>0</v>
      </c>
      <c r="C60" s="40">
        <f>'Middle East 2000'!$I$28/IF('Middle East 2000'!$L$28=0,1,'Middle East 2000'!$L$28)</f>
        <v>0</v>
      </c>
      <c r="D60" s="40">
        <f>'Middle East 2005'!$I$28/IF('Middle East 2005'!$L$28=0,1,'Middle East 2005'!$L$28)</f>
        <v>0</v>
      </c>
      <c r="E60" s="40">
        <f>'Middle East 2010'!$I$28/IF('Middle East 2010'!$L$28=0,1,'Middle East 2010'!$L$28)</f>
        <v>0</v>
      </c>
      <c r="F60" s="40">
        <f>'Middle East 2015'!$I$28/IF('Middle East 2015'!$L$28=0,1,'Middle East 2015'!$L$28)</f>
        <v>0</v>
      </c>
      <c r="G60" s="40">
        <f>'Middle East 2018'!$I$28/IF('Middle East 2018'!$L$28=0,1,'Middle East 2018'!$L$28)</f>
        <v>0</v>
      </c>
      <c r="H60" s="77">
        <f t="shared" si="0"/>
        <v>0</v>
      </c>
      <c r="I60" s="77">
        <f t="shared" si="0"/>
        <v>0</v>
      </c>
    </row>
    <row r="61" spans="1:9" x14ac:dyDescent="0.35">
      <c r="A61" s="30" t="s">
        <v>147</v>
      </c>
      <c r="B61" s="40">
        <f>'Middle East 1995'!$J$28/IF('Middle East 1995'!$L$28=0,1,'Middle East 1995'!$L$28)</f>
        <v>0</v>
      </c>
      <c r="C61" s="40">
        <f>'Middle East 2000'!$J$28/IF('Middle East 2000'!$L$28=0,1,'Middle East 2000'!$L$28)</f>
        <v>0</v>
      </c>
      <c r="D61" s="40">
        <f>'Middle East 2005'!$J$28/IF('Middle East 2005'!$L$28=0,1,'Middle East 2005'!$L$28)</f>
        <v>0</v>
      </c>
      <c r="E61" s="40">
        <f>'Middle East 2010'!$J$28/IF('Middle East 2010'!$L$28=0,1,'Middle East 2010'!$L$28)</f>
        <v>0</v>
      </c>
      <c r="F61" s="40">
        <f>'Middle East 2015'!$J$28/IF('Middle East 2015'!$L$28=0,1,'Middle East 2015'!$L$28)</f>
        <v>0</v>
      </c>
      <c r="G61" s="40">
        <f>'Middle East 2018'!$J$28/IF('Middle East 2018'!$L$28=0,1,'Middle East 2018'!$L$28)</f>
        <v>0</v>
      </c>
      <c r="H61" s="89">
        <f>1-H62-H60-H59-H58-H57-H56</f>
        <v>1</v>
      </c>
      <c r="I61" s="89">
        <f>1-I62-I60-I59-I58-I57-I56</f>
        <v>1</v>
      </c>
    </row>
    <row r="62" spans="1:9" x14ac:dyDescent="0.35">
      <c r="A62" s="30" t="s">
        <v>148</v>
      </c>
      <c r="B62" s="40">
        <f>'Middle East 1995'!$K$28/IF('Middle East 1995'!$L$28=0,1,'Middle East 1995'!$L$28)</f>
        <v>0</v>
      </c>
      <c r="C62" s="40">
        <f>'Middle East 2000'!$K$28/IF('Middle East 2000'!$L$28=0,1,'Middle East 2000'!$L$28)</f>
        <v>0</v>
      </c>
      <c r="D62" s="40">
        <f>'Middle East 2005'!$K$28/IF('Middle East 2005'!$L$28=0,1,'Middle East 2005'!$L$28)</f>
        <v>0</v>
      </c>
      <c r="E62" s="40">
        <f>'Middle East 2010'!$K$28/IF('Middle East 2010'!$L$28=0,1,'Middle East 2010'!$L$28)</f>
        <v>0</v>
      </c>
      <c r="F62" s="40">
        <f>'Middle East 2015'!$K$28/IF('Middle East 2015'!$L$28=0,1,'Middle East 2015'!$L$28)</f>
        <v>0</v>
      </c>
      <c r="G62" s="40">
        <f>'Middle East 2018'!$K$28/IF('Middle East 2018'!$L$28=0,1,'Middle East 2018'!$L$28)</f>
        <v>0</v>
      </c>
      <c r="H62" s="77">
        <f t="shared" si="0"/>
        <v>0</v>
      </c>
      <c r="I62" s="77">
        <f t="shared" si="0"/>
        <v>0</v>
      </c>
    </row>
    <row r="63" spans="1:9" x14ac:dyDescent="0.35">
      <c r="A63" s="31" t="s">
        <v>154</v>
      </c>
      <c r="B63" s="81"/>
      <c r="C63" s="81"/>
      <c r="D63" s="81"/>
      <c r="E63" s="81"/>
      <c r="F63" s="81"/>
      <c r="G63" s="81"/>
      <c r="H63" s="42"/>
      <c r="I63" s="42"/>
    </row>
    <row r="64" spans="1:9" x14ac:dyDescent="0.35">
      <c r="A64" s="30" t="s">
        <v>141</v>
      </c>
      <c r="B64" s="40">
        <f>'Middle East 1995'!$B$29/'Middle East 1995'!$L$29</f>
        <v>0</v>
      </c>
      <c r="C64" s="40">
        <f>'Middle East 2000'!$B$29/'Middle East 2000'!$L$29</f>
        <v>0</v>
      </c>
      <c r="D64" s="40">
        <f>'Middle East 2005'!$B$29/'Middle East 2005'!$L$29</f>
        <v>0</v>
      </c>
      <c r="E64" s="40">
        <f>'Middle East 2010'!$B$29/'Middle East 2010'!$L$29</f>
        <v>0</v>
      </c>
      <c r="F64" s="40">
        <f>'Middle East 2015'!$B$29/'Middle East 2015'!$L$29</f>
        <v>0</v>
      </c>
      <c r="G64" s="40">
        <f>'Middle East 2018'!$B$29/'Middle East 2018'!$L$29</f>
        <v>0</v>
      </c>
      <c r="H64" s="77">
        <f t="shared" si="0"/>
        <v>0</v>
      </c>
      <c r="I64" s="77">
        <f t="shared" si="0"/>
        <v>0</v>
      </c>
    </row>
    <row r="65" spans="1:9" x14ac:dyDescent="0.35">
      <c r="A65" s="30" t="s">
        <v>143</v>
      </c>
      <c r="B65" s="40">
        <f>'Middle East 1995'!$D$29/'Middle East 1995'!$L$29</f>
        <v>0.41531704639033762</v>
      </c>
      <c r="C65" s="40">
        <f>'Middle East 2000'!$D$29/'Middle East 2000'!$L$29</f>
        <v>0.3927836978874556</v>
      </c>
      <c r="D65" s="40">
        <f>'Middle East 2005'!$D$29/'Middle East 2005'!$L$29</f>
        <v>0.51013584117032396</v>
      </c>
      <c r="E65" s="40">
        <f>'Middle East 2010'!$D$29/'Middle East 2010'!$L$29</f>
        <v>0.19446192573945878</v>
      </c>
      <c r="F65" s="40">
        <f>'Middle East 2015'!$D$29/'Middle East 2015'!$L$29</f>
        <v>0.17575647762275776</v>
      </c>
      <c r="G65" s="40">
        <f>'Middle East 2018'!$D$29/'Middle East 2018'!$L$29</f>
        <v>0.18944203140661545</v>
      </c>
      <c r="H65" s="77">
        <f t="shared" si="0"/>
        <v>0.18944203140661545</v>
      </c>
      <c r="I65" s="77">
        <f t="shared" si="0"/>
        <v>0.18944203140661545</v>
      </c>
    </row>
    <row r="66" spans="1:9" x14ac:dyDescent="0.35">
      <c r="A66" s="30" t="s">
        <v>241</v>
      </c>
      <c r="B66" s="40">
        <f>'Middle East 1995'!$E$29/'Middle East 1995'!$L$29</f>
        <v>5.4076310732912435E-2</v>
      </c>
      <c r="C66" s="40">
        <f>'Middle East 2000'!$E$29/'Middle East 2000'!$L$29</f>
        <v>4.0568330529070856E-2</v>
      </c>
      <c r="D66" s="40">
        <f>'Middle East 2005'!$E$29/'Middle East 2005'!$L$29</f>
        <v>1.1076280041797283E-2</v>
      </c>
      <c r="E66" s="40">
        <f>'Middle East 2010'!$E$29/'Middle East 2010'!$L$29</f>
        <v>3.0417453324942313E-2</v>
      </c>
      <c r="F66" s="40">
        <f>'Middle East 2015'!$E$29/'Middle East 2015'!$L$29</f>
        <v>2.9171951440478346E-2</v>
      </c>
      <c r="G66" s="40">
        <f>'Middle East 2018'!$E$29/'Middle East 2018'!$L$29</f>
        <v>6.3481456732375546E-3</v>
      </c>
      <c r="H66" s="77">
        <f t="shared" si="0"/>
        <v>6.3481456732375546E-3</v>
      </c>
      <c r="I66" s="77">
        <f t="shared" si="0"/>
        <v>6.3481456732375546E-3</v>
      </c>
    </row>
    <row r="67" spans="1:9" x14ac:dyDescent="0.35">
      <c r="A67" s="30" t="s">
        <v>145</v>
      </c>
      <c r="B67" s="40">
        <f>'Middle East 1995'!$H$29/'Middle East 1995'!$L$29</f>
        <v>1.6469942355201758E-3</v>
      </c>
      <c r="C67" s="40">
        <f>'Middle East 2000'!$H$29/'Middle East 2000'!$L$29</f>
        <v>0</v>
      </c>
      <c r="D67" s="40">
        <f>'Middle East 2005'!$H$29/'Middle East 2005'!$L$29</f>
        <v>0</v>
      </c>
      <c r="E67" s="40">
        <f>'Middle East 2010'!$H$29/'Middle East 2010'!$L$29</f>
        <v>0</v>
      </c>
      <c r="F67" s="40">
        <f>'Middle East 2015'!$H$29/'Middle East 2015'!$L$29</f>
        <v>0</v>
      </c>
      <c r="G67" s="40">
        <f>'Middle East 2018'!$H$29/'Middle East 2018'!$L$29</f>
        <v>0</v>
      </c>
      <c r="H67" s="77">
        <f t="shared" si="0"/>
        <v>0</v>
      </c>
      <c r="I67" s="77">
        <f t="shared" si="0"/>
        <v>0</v>
      </c>
    </row>
    <row r="68" spans="1:9" x14ac:dyDescent="0.35">
      <c r="A68" s="30" t="s">
        <v>146</v>
      </c>
      <c r="B68" s="40">
        <f>'Middle East 1995'!$I$29/'Middle East 1995'!$L$29</f>
        <v>3.1018391435629976E-2</v>
      </c>
      <c r="C68" s="40">
        <f>'Middle East 2000'!$I$29/'Middle East 2000'!$L$29</f>
        <v>1.7573378201532996E-2</v>
      </c>
      <c r="D68" s="40">
        <f>'Middle East 2005'!$I$29/'Middle East 2005'!$L$29</f>
        <v>2.2988505747126436E-2</v>
      </c>
      <c r="E68" s="40">
        <f>'Middle East 2010'!$I$29/'Middle East 2010'!$L$29</f>
        <v>2.9788126704426265E-2</v>
      </c>
      <c r="F68" s="40">
        <f>'Middle East 2015'!$I$29/'Middle East 2015'!$L$29</f>
        <v>2.6635260010871534E-2</v>
      </c>
      <c r="G68" s="40">
        <f>'Middle East 2018'!$I$29/'Middle East 2018'!$L$29</f>
        <v>2.8733711994654194E-2</v>
      </c>
      <c r="H68" s="77">
        <f t="shared" si="0"/>
        <v>2.8733711994654194E-2</v>
      </c>
      <c r="I68" s="77">
        <f t="shared" si="0"/>
        <v>2.8733711994654194E-2</v>
      </c>
    </row>
    <row r="69" spans="1:9" x14ac:dyDescent="0.35">
      <c r="A69" s="30" t="s">
        <v>147</v>
      </c>
      <c r="B69" s="40">
        <f>'Middle East 1995'!$J$29/'Middle East 1995'!$L$29</f>
        <v>0.49821575624485315</v>
      </c>
      <c r="C69" s="40">
        <f>'Middle East 2000'!$J$29/'Middle East 2000'!$L$29</f>
        <v>0.54926154421387174</v>
      </c>
      <c r="D69" s="40">
        <f>'Middle East 2005'!$J$29/'Middle East 2005'!$L$29</f>
        <v>0.45579937304075235</v>
      </c>
      <c r="E69" s="40">
        <f>'Middle East 2010'!$J$29/'Middle East 2010'!$L$29</f>
        <v>0.74533249423117265</v>
      </c>
      <c r="F69" s="40">
        <f>'Middle East 2015'!$J$29/'Middle East 2015'!$L$29</f>
        <v>0.76843631092589237</v>
      </c>
      <c r="G69" s="40">
        <f>'Middle East 2018'!$J$29/'Middle East 2018'!$L$29</f>
        <v>0.77547611092549285</v>
      </c>
      <c r="H69" s="89">
        <f>1-H70-H68-H67-H66-H65-H64</f>
        <v>0.77547611092549273</v>
      </c>
      <c r="I69" s="89">
        <f>1-I70-I68-I67-I66-I65-I64</f>
        <v>0.77547611092549273</v>
      </c>
    </row>
    <row r="70" spans="1:9" x14ac:dyDescent="0.35">
      <c r="A70" s="30" t="s">
        <v>148</v>
      </c>
      <c r="B70" s="40">
        <f>'Middle East 1995'!$K$29/'Middle East 1995'!$L$29</f>
        <v>0</v>
      </c>
      <c r="C70" s="40">
        <f>'Middle East 2000'!$K$29/'Middle East 2000'!$L$29</f>
        <v>0</v>
      </c>
      <c r="D70" s="40">
        <f>'Middle East 2005'!$K$29/'Middle East 2005'!$L$29</f>
        <v>0</v>
      </c>
      <c r="E70" s="40">
        <f>'Middle East 2010'!$K$29/'Middle East 2010'!$L$29</f>
        <v>0</v>
      </c>
      <c r="F70" s="40">
        <f>'Middle East 2015'!$K$29/'Middle East 2015'!$L$29</f>
        <v>0</v>
      </c>
      <c r="G70" s="40">
        <f>'Middle East 2018'!$K$29/'Middle East 2018'!$L$29</f>
        <v>0</v>
      </c>
      <c r="H70" s="77">
        <f t="shared" ref="H70:I132" si="1">G70</f>
        <v>0</v>
      </c>
      <c r="I70" s="77">
        <f t="shared" si="1"/>
        <v>0</v>
      </c>
    </row>
    <row r="71" spans="1:9" x14ac:dyDescent="0.35">
      <c r="A71" s="38" t="s">
        <v>155</v>
      </c>
      <c r="B71" s="42"/>
      <c r="C71" s="42"/>
      <c r="D71" s="42"/>
      <c r="E71" s="42"/>
      <c r="F71" s="42"/>
      <c r="G71" s="42"/>
      <c r="H71" s="42"/>
      <c r="I71" s="42"/>
    </row>
    <row r="72" spans="1:9" x14ac:dyDescent="0.35">
      <c r="A72" s="30" t="s">
        <v>147</v>
      </c>
      <c r="B72" s="40">
        <f>'Middle East 1995'!$J21/IF('Middle East 1995'!$J22=0,1,'Middle East 1995'!$J22)*-1</f>
        <v>0.12651518643130386</v>
      </c>
      <c r="C72" s="40">
        <f>'Middle East 2000'!$J21/IF('Middle East 2000'!$J22=0,1,'Middle East 2000'!$J22)*-1</f>
        <v>0.14661474345835895</v>
      </c>
      <c r="D72" s="40">
        <f>'Middle East 2005'!$J21/IF('Middle East 2005'!$J22=0,1,'Middle East 2005'!$J22)*-1</f>
        <v>0.18168027709655399</v>
      </c>
      <c r="E72" s="40">
        <f>'Middle East 2010'!$J21/IF('Middle East 2010'!$J22=0,1,'Middle East 2010'!$J22)*-1</f>
        <v>0.15395658566116061</v>
      </c>
      <c r="F72" s="40">
        <f>'Middle East 2015'!$J21/IF('Middle East 2015'!$J22=0,1,'Middle East 2015'!$J22)*-1</f>
        <v>0.15883275380104997</v>
      </c>
      <c r="G72" s="40">
        <f>'Middle East 2018'!$J21/IF('Middle East 2018'!$J22=0,1,'Middle East 2018'!$J22)*-1</f>
        <v>0.16321013258277164</v>
      </c>
      <c r="H72" s="77">
        <f t="shared" si="1"/>
        <v>0.16321013258277164</v>
      </c>
      <c r="I72" s="77">
        <f t="shared" si="1"/>
        <v>0.16321013258277164</v>
      </c>
    </row>
    <row r="73" spans="1:9" x14ac:dyDescent="0.35">
      <c r="A73" s="30" t="s">
        <v>148</v>
      </c>
      <c r="B73" s="40">
        <f>'Middle East 1995'!$K21/IF('Middle East 1995'!$K22=0,1,'Middle East 1995'!$K22)*-1</f>
        <v>0</v>
      </c>
      <c r="C73" s="40">
        <f>'Middle East 2000'!$K21/IF('Middle East 2000'!$K22=0,1,'Middle East 2000'!$K22)*-1</f>
        <v>0</v>
      </c>
      <c r="D73" s="40">
        <f>'Middle East 2005'!$K21/IF('Middle East 2005'!$K22=0,1,'Middle East 2005'!$K22)*-1</f>
        <v>0</v>
      </c>
      <c r="E73" s="40">
        <f>'Middle East 2010'!$K21/IF('Middle East 2010'!$K22=0,1,'Middle East 2010'!$K22)*-1</f>
        <v>0</v>
      </c>
      <c r="F73" s="40">
        <f>'Middle East 2015'!$K21/IF('Middle East 2015'!$K22=0,1,'Middle East 2015'!$K22)*-1</f>
        <v>0</v>
      </c>
      <c r="G73" s="40">
        <f>'Middle East 2018'!$K21/IF('Middle East 2018'!$K22=0,1,'Middle East 2018'!$K22)*-1</f>
        <v>0</v>
      </c>
      <c r="H73" s="77">
        <f t="shared" si="1"/>
        <v>0</v>
      </c>
      <c r="I73" s="77">
        <f t="shared" si="1"/>
        <v>0</v>
      </c>
    </row>
    <row r="74" spans="1:9" x14ac:dyDescent="0.35">
      <c r="A74" s="38" t="s">
        <v>242</v>
      </c>
      <c r="B74" s="42"/>
      <c r="C74" s="42"/>
      <c r="D74" s="42"/>
      <c r="E74" s="42"/>
      <c r="F74" s="42"/>
      <c r="G74" s="42"/>
      <c r="H74" s="42"/>
      <c r="I74" s="42"/>
    </row>
    <row r="75" spans="1:9" x14ac:dyDescent="0.35">
      <c r="A75" s="30" t="s">
        <v>243</v>
      </c>
      <c r="B75" s="40">
        <f>'Middle East 1995'!$L20/B5*0.041872</f>
        <v>0.11747742663656886</v>
      </c>
      <c r="C75" s="40">
        <f>'Middle East 2000'!$L20/C5*0.041872</f>
        <v>0.13991045045988112</v>
      </c>
      <c r="D75" s="40">
        <f>'Middle East 2005'!$L20/D5*0.041872</f>
        <v>0.15132319248549153</v>
      </c>
      <c r="E75" s="40">
        <f>'Middle East 2010'!$L20/E5*0.041872</f>
        <v>0.12721078251998716</v>
      </c>
      <c r="F75" s="40">
        <f>'Middle East 2015'!$L20/F5*0.041872</f>
        <v>0.14202838471123308</v>
      </c>
      <c r="G75" s="40">
        <f>'Middle East 2018'!$L20/G5*0.041872</f>
        <v>0.1439309804921122</v>
      </c>
      <c r="H75" s="77">
        <f t="shared" si="1"/>
        <v>0.1439309804921122</v>
      </c>
      <c r="I75" s="77">
        <f t="shared" si="1"/>
        <v>0.1439309804921122</v>
      </c>
    </row>
    <row r="76" spans="1:9" x14ac:dyDescent="0.35">
      <c r="A76" s="39" t="s">
        <v>158</v>
      </c>
      <c r="B76" s="43"/>
      <c r="C76" s="43"/>
      <c r="D76" s="43"/>
      <c r="E76" s="43"/>
      <c r="F76" s="43"/>
      <c r="G76" s="43"/>
      <c r="H76" s="43">
        <f t="shared" si="1"/>
        <v>0</v>
      </c>
      <c r="I76" s="43">
        <f t="shared" si="1"/>
        <v>0</v>
      </c>
    </row>
    <row r="77" spans="1:9" x14ac:dyDescent="0.35">
      <c r="A77" s="30" t="s">
        <v>147</v>
      </c>
      <c r="B77" s="40">
        <f>'Middle East 1995'!$J20/'Middle East 1995'!$L20</f>
        <v>0.12859681990680694</v>
      </c>
      <c r="C77" s="40">
        <f>'Middle East 2000'!$J20/'Middle East 2000'!$L20</f>
        <v>0.12107196299823153</v>
      </c>
      <c r="D77" s="40">
        <f>'Middle East 2005'!$J20/'Middle East 2005'!$L20</f>
        <v>0.11022527794031597</v>
      </c>
      <c r="E77" s="40">
        <f>'Middle East 2010'!$J20/'Middle East 2010'!$L20</f>
        <v>9.4728584192290091E-2</v>
      </c>
      <c r="F77" s="40">
        <f>'Middle East 2015'!$J20/'Middle East 2015'!$L20</f>
        <v>8.489616533029154E-2</v>
      </c>
      <c r="G77" s="40">
        <f>'Middle East 2018'!$J20/'Middle East 2018'!$L20</f>
        <v>8.617281998576963E-2</v>
      </c>
      <c r="H77" s="89">
        <f>1-H78-H79-H80-H81-H82-H83</f>
        <v>8.6157008459166712E-2</v>
      </c>
      <c r="I77" s="89">
        <f>1-I78-I79-I80-I81-I82-I83</f>
        <v>8.6157008459166712E-2</v>
      </c>
    </row>
    <row r="78" spans="1:9" x14ac:dyDescent="0.35">
      <c r="A78" s="30" t="s">
        <v>148</v>
      </c>
      <c r="B78" s="40">
        <f>'Middle East 1995'!$K20/'Middle East 1995'!$L20</f>
        <v>0</v>
      </c>
      <c r="C78" s="40">
        <f>'Middle East 2000'!$K20/'Middle East 2000'!$L20</f>
        <v>0</v>
      </c>
      <c r="D78" s="40">
        <f>'Middle East 2005'!$K20/'Middle East 2005'!$L20</f>
        <v>0</v>
      </c>
      <c r="E78" s="40">
        <f>'Middle East 2010'!$K20/'Middle East 2010'!$L20</f>
        <v>0</v>
      </c>
      <c r="F78" s="40">
        <f>'Middle East 2015'!$K20/'Middle East 2015'!$L20</f>
        <v>0</v>
      </c>
      <c r="G78" s="40">
        <f>'Middle East 2018'!$K20/'Middle East 2018'!$L20</f>
        <v>0</v>
      </c>
      <c r="H78" s="77">
        <f t="shared" si="1"/>
        <v>0</v>
      </c>
      <c r="I78" s="77">
        <f t="shared" si="1"/>
        <v>0</v>
      </c>
    </row>
    <row r="79" spans="1:9" x14ac:dyDescent="0.35">
      <c r="A79" s="30" t="s">
        <v>141</v>
      </c>
      <c r="B79" s="40">
        <f>'Middle East 1995'!$B20/'Middle East 1995'!$L20</f>
        <v>6.1007830138828838E-3</v>
      </c>
      <c r="C79" s="40">
        <f>'Middle East 2000'!$B20/'Middle East 2000'!$L20</f>
        <v>5.5774724527275204E-3</v>
      </c>
      <c r="D79" s="40">
        <f>'Middle East 2005'!$B20/'Middle East 2005'!$L20</f>
        <v>3.3645406670567584E-3</v>
      </c>
      <c r="E79" s="40">
        <f>'Middle East 2010'!$B20/'Middle East 2010'!$L20</f>
        <v>4.009675521366776E-3</v>
      </c>
      <c r="F79" s="40">
        <f>'Middle East 2015'!$B20/'Middle East 2015'!$L20</f>
        <v>2.7678062200154328E-3</v>
      </c>
      <c r="G79" s="40">
        <f>'Middle East 2018'!$B20/'Middle East 2018'!$L20</f>
        <v>2.5772788362716419E-3</v>
      </c>
      <c r="H79" s="77">
        <f t="shared" si="1"/>
        <v>2.5772788362716419E-3</v>
      </c>
      <c r="I79" s="77">
        <f t="shared" si="1"/>
        <v>2.5772788362716419E-3</v>
      </c>
    </row>
    <row r="80" spans="1:9" x14ac:dyDescent="0.35">
      <c r="A80" s="30" t="s">
        <v>244</v>
      </c>
      <c r="B80" s="40">
        <f>'Middle East 1995'!$E20/'Middle East 1995'!$L20</f>
        <v>0.41105826968343179</v>
      </c>
      <c r="C80" s="40">
        <f>'Middle East 2000'!$E20/'Middle East 2000'!$L20</f>
        <v>0.48833492041899063</v>
      </c>
      <c r="D80" s="40">
        <f>'Middle East 2005'!$E20/'Middle East 2005'!$L20</f>
        <v>0.52974448995513945</v>
      </c>
      <c r="E80" s="40">
        <f>'Middle East 2010'!$E20/'Middle East 2010'!$L20</f>
        <v>0.63034714201660524</v>
      </c>
      <c r="F80" s="40">
        <f>'Middle East 2015'!$E20/'Middle East 2015'!$L20</f>
        <v>0.62502096822893949</v>
      </c>
      <c r="G80" s="40">
        <f>'Middle East 2018'!$E20/'Middle East 2018'!$L20</f>
        <v>0.64166337259862438</v>
      </c>
      <c r="H80" s="77">
        <f t="shared" si="1"/>
        <v>0.64166337259862438</v>
      </c>
      <c r="I80" s="77">
        <f t="shared" si="1"/>
        <v>0.64166337259862438</v>
      </c>
    </row>
    <row r="81" spans="1:9" x14ac:dyDescent="0.35">
      <c r="A81" s="30" t="s">
        <v>160</v>
      </c>
      <c r="B81" s="40">
        <f>'Middle East 1995'!$C20/'Middle East 1995'!$L20</f>
        <v>1.4411298457991065E-3</v>
      </c>
      <c r="C81" s="40">
        <f>'Middle East 2000'!$C20/'Middle East 2000'!$L20</f>
        <v>5.7169092640457081E-2</v>
      </c>
      <c r="D81" s="40">
        <f>'Middle East 2005'!$C20/'Middle East 2005'!$L20</f>
        <v>9.0866978740003906E-2</v>
      </c>
      <c r="E81" s="40">
        <f>'Middle East 2010'!$C20/'Middle East 2010'!$L20</f>
        <v>4.9096733421952976E-2</v>
      </c>
      <c r="F81" s="40">
        <f>'Middle East 2015'!$C20/'Middle East 2015'!$L20</f>
        <v>7.1141007145972421E-2</v>
      </c>
      <c r="G81" s="40">
        <f>'Middle East 2018'!$C20/'Middle East 2018'!$L20</f>
        <v>5.023322001739268E-2</v>
      </c>
      <c r="H81" s="77">
        <f t="shared" si="1"/>
        <v>5.023322001739268E-2</v>
      </c>
      <c r="I81" s="77">
        <f t="shared" si="1"/>
        <v>5.023322001739268E-2</v>
      </c>
    </row>
    <row r="82" spans="1:9" x14ac:dyDescent="0.35">
      <c r="A82" s="30" t="s">
        <v>143</v>
      </c>
      <c r="B82" s="40">
        <f>'Middle East 1995'!$D20/'Middle East 1995'!$L20</f>
        <v>0.45256280924244607</v>
      </c>
      <c r="C82" s="40">
        <f>'Middle East 2000'!$D20/'Middle East 2000'!$L20</f>
        <v>0.32788056046796354</v>
      </c>
      <c r="D82" s="40">
        <f>'Middle East 2005'!$D20/'Middle East 2005'!$L20</f>
        <v>0.26574995123854106</v>
      </c>
      <c r="E82" s="40">
        <f>'Middle East 2010'!$D20/'Middle East 2010'!$L20</f>
        <v>0.2218396565625749</v>
      </c>
      <c r="F82" s="40">
        <f>'Middle East 2015'!$D20/'Middle East 2015'!$L20</f>
        <v>0.21619082765793271</v>
      </c>
      <c r="G82" s="40">
        <f>'Middle East 2018'!$D20/'Middle East 2018'!$L20</f>
        <v>0.21936912008854456</v>
      </c>
      <c r="H82" s="77">
        <f t="shared" si="1"/>
        <v>0.21936912008854456</v>
      </c>
      <c r="I82" s="77">
        <f t="shared" si="1"/>
        <v>0.21936912008854456</v>
      </c>
    </row>
    <row r="83" spans="1:9" x14ac:dyDescent="0.35">
      <c r="A83" s="30" t="s">
        <v>161</v>
      </c>
      <c r="B83" s="40">
        <f>'Middle East 1995'!$I20/'Middle East 1995'!$L20</f>
        <v>0</v>
      </c>
      <c r="C83" s="40">
        <f>'Middle East 2000'!$I20/'Middle East 2000'!$L20</f>
        <v>0</v>
      </c>
      <c r="D83" s="40">
        <f>'Middle East 2005'!$I20/'Middle East 2005'!$L20</f>
        <v>0</v>
      </c>
      <c r="E83" s="40">
        <f>'Middle East 2010'!$I20/'Middle East 2010'!$L20</f>
        <v>0</v>
      </c>
      <c r="F83" s="40">
        <f>'Middle East 2015'!$I20/'Middle East 2015'!$L20</f>
        <v>0</v>
      </c>
      <c r="G83" s="40">
        <f>'Middle East 2018'!$I20/'Middle East 2018'!$L20</f>
        <v>0</v>
      </c>
      <c r="H83" s="77">
        <f t="shared" si="1"/>
        <v>0</v>
      </c>
      <c r="I83" s="77">
        <f t="shared" si="1"/>
        <v>0</v>
      </c>
    </row>
    <row r="84" spans="1:9" ht="18.75" customHeight="1" x14ac:dyDescent="0.35">
      <c r="A84" s="32" t="s">
        <v>162</v>
      </c>
      <c r="B84" s="82"/>
      <c r="C84" s="82"/>
      <c r="D84" s="82"/>
      <c r="E84" s="82"/>
      <c r="F84" s="82"/>
      <c r="G84" s="82"/>
      <c r="H84" s="42"/>
      <c r="I84" s="42"/>
    </row>
    <row r="85" spans="1:9" x14ac:dyDescent="0.35">
      <c r="A85" s="30" t="s">
        <v>163</v>
      </c>
      <c r="B85" s="40">
        <f>'Middle East 1995'!$K13/IF(('Middle East 1995'!$K13+'Middle East 1995'!$K14)=0,1,('Middle East 1995'!$K13+'Middle East 1995'!$K14))</f>
        <v>0</v>
      </c>
      <c r="C85" s="40">
        <f>'Middle East 2000'!$K13/IF(('Middle East 2000'!$K13+'Middle East 2000'!$K14)=0,1,('Middle East 2000'!$K13+'Middle East 2000'!$K14))</f>
        <v>0</v>
      </c>
      <c r="D85" s="40">
        <f>'Middle East 2005'!$K13/IF(('Middle East 2005'!$K13+'Middle East 2005'!$K14)=0,1,('Middle East 2005'!$K13+'Middle East 2005'!$K14))</f>
        <v>0</v>
      </c>
      <c r="E85" s="40">
        <f>'Middle East 2010'!$K13/IF(('Middle East 2010'!$K13+'Middle East 2010'!$K14)=0,1,('Middle East 2010'!$K13+'Middle East 2010'!$K14))</f>
        <v>0</v>
      </c>
      <c r="F85" s="40">
        <f>'Middle East 2015'!$K13/IF(('Middle East 2015'!$K13+'Middle East 2015'!$K14)=0,1,('Middle East 2015'!$K13+'Middle East 2015'!$K14))</f>
        <v>0</v>
      </c>
      <c r="G85" s="40">
        <f>'Middle East 2018'!$K13/IF(('Middle East 2018'!$K13+'Middle East 2018'!$K14)=0,1,('Middle East 2018'!$K13+'Middle East 2018'!$K14))</f>
        <v>0</v>
      </c>
      <c r="H85" s="89">
        <f>1-H86</f>
        <v>1</v>
      </c>
      <c r="I85" s="89">
        <f>1-I86</f>
        <v>1</v>
      </c>
    </row>
    <row r="86" spans="1:9" x14ac:dyDescent="0.35">
      <c r="A86" s="30" t="s">
        <v>164</v>
      </c>
      <c r="B86" s="40">
        <f>'Middle East 1995'!$K14/IF(('Middle East 1995'!$K13+'Middle East 1995'!$K14)=0,1,('Middle East 1995'!$K13+'Middle East 1995'!$K14))</f>
        <v>0</v>
      </c>
      <c r="C86" s="40">
        <f>'Middle East 2000'!$K14/IF(('Middle East 2000'!$K13+'Middle East 2000'!$K14)=0,1,('Middle East 2000'!$K13+'Middle East 2000'!$K14))</f>
        <v>0</v>
      </c>
      <c r="D86" s="40">
        <f>'Middle East 2005'!$K14/IF(('Middle East 2005'!$K13+'Middle East 2005'!$K14)=0,1,('Middle East 2005'!$K13+'Middle East 2005'!$K14))</f>
        <v>0</v>
      </c>
      <c r="E86" s="40">
        <f>'Middle East 2010'!$K14/IF(('Middle East 2010'!$K13+'Middle East 2010'!$K14)=0,1,('Middle East 2010'!$K13+'Middle East 2010'!$K14))</f>
        <v>0</v>
      </c>
      <c r="F86" s="40">
        <f>'Middle East 2015'!$K14/IF(('Middle East 2015'!$K13+'Middle East 2015'!$K14)=0,1,('Middle East 2015'!$K13+'Middle East 2015'!$K14))</f>
        <v>0</v>
      </c>
      <c r="G86" s="40">
        <f>'Middle East 2018'!$K14/IF(('Middle East 2018'!$K13+'Middle East 2018'!$K14)=0,1,('Middle East 2018'!$K13+'Middle East 2018'!$K14))</f>
        <v>0</v>
      </c>
      <c r="H86" s="77">
        <f t="shared" si="1"/>
        <v>0</v>
      </c>
      <c r="I86" s="77">
        <f t="shared" si="1"/>
        <v>0</v>
      </c>
    </row>
    <row r="87" spans="1:9" x14ac:dyDescent="0.35">
      <c r="A87" s="32" t="s">
        <v>165</v>
      </c>
      <c r="B87" s="82"/>
      <c r="C87" s="82"/>
      <c r="D87" s="82"/>
      <c r="E87" s="82"/>
      <c r="F87" s="82"/>
      <c r="G87" s="82"/>
      <c r="H87" s="42"/>
      <c r="I87" s="42"/>
    </row>
    <row r="88" spans="1:9" x14ac:dyDescent="0.35">
      <c r="A88" s="30" t="s">
        <v>166</v>
      </c>
      <c r="B88" s="40">
        <f>'Middle East 1995'!$J14/IF('Middle East 1995'!$K14=0,1,'Middle East 1995'!$K14)*-1</f>
        <v>0</v>
      </c>
      <c r="C88" s="40">
        <f>'Middle East 2000'!$J14/IF('Middle East 2000'!$K14=0,1,'Middle East 2000'!$K14)*-1</f>
        <v>0</v>
      </c>
      <c r="D88" s="40">
        <f>'Middle East 2005'!$J14/IF('Middle East 2005'!$K14=0,1,'Middle East 2005'!$K14)*-1</f>
        <v>0</v>
      </c>
      <c r="E88" s="40">
        <f>'Middle East 2010'!$J14/IF('Middle East 2010'!$K14=0,1,'Middle East 2010'!$K14)*-1</f>
        <v>0</v>
      </c>
      <c r="F88" s="40">
        <f>'Middle East 2015'!$J14/IF('Middle East 2015'!$K14=0,1,'Middle East 2015'!$K14)*-1</f>
        <v>0</v>
      </c>
      <c r="G88" s="40">
        <f>'Middle East 2018'!$J14/IF('Middle East 2018'!$K14=0,1,'Middle East 2018'!$K14)*-1</f>
        <v>0</v>
      </c>
      <c r="H88" s="77">
        <f t="shared" si="1"/>
        <v>0</v>
      </c>
      <c r="I88" s="77">
        <f t="shared" si="1"/>
        <v>0</v>
      </c>
    </row>
    <row r="89" spans="1:9" ht="18.75" customHeight="1" x14ac:dyDescent="0.35">
      <c r="A89" s="32" t="s">
        <v>167</v>
      </c>
      <c r="B89" s="82"/>
      <c r="C89" s="82"/>
      <c r="D89" s="82"/>
      <c r="E89" s="82"/>
      <c r="F89" s="82"/>
      <c r="G89" s="82"/>
      <c r="H89" s="42"/>
      <c r="I89" s="42"/>
    </row>
    <row r="90" spans="1:9" x14ac:dyDescent="0.35">
      <c r="A90" s="30" t="s">
        <v>168</v>
      </c>
      <c r="B90" s="34">
        <f>'Middle East 1995'!$J13/IF('Middle East 1995'!$K13=0,1,'Middle East 1995'!$K13)</f>
        <v>0</v>
      </c>
      <c r="C90" s="34">
        <f>'Middle East 2000'!$J13/IF('Middle East 2000'!$K13=0,1,'Middle East 2000'!$K13)</f>
        <v>0</v>
      </c>
      <c r="D90" s="34">
        <f>'Middle East 2005'!$J13/IF('Middle East 2005'!$K13=0,1,'Middle East 2005'!$K13)</f>
        <v>0</v>
      </c>
      <c r="E90" s="34">
        <f>'Middle East 2010'!$J13/IF('Middle East 2010'!$K13=0,1,'Middle East 2010'!$K13)</f>
        <v>0</v>
      </c>
      <c r="F90" s="34">
        <f>'Middle East 2015'!$J13/IF('Middle East 2015'!$K13=0,1,'Middle East 2015'!$K13)</f>
        <v>0</v>
      </c>
      <c r="G90" s="34">
        <f>'Middle East 2018'!$J13/IF('Middle East 2018'!$K13=0,1,'Middle East 2018'!$K13)</f>
        <v>0</v>
      </c>
      <c r="H90" s="78">
        <f t="shared" si="1"/>
        <v>0</v>
      </c>
      <c r="I90" s="78">
        <f t="shared" si="1"/>
        <v>0</v>
      </c>
    </row>
    <row r="91" spans="1:9" ht="18.75" customHeight="1" x14ac:dyDescent="0.35">
      <c r="A91" s="32" t="s">
        <v>169</v>
      </c>
      <c r="B91" s="82"/>
      <c r="C91" s="82"/>
      <c r="D91" s="82"/>
      <c r="E91" s="82"/>
      <c r="F91" s="82"/>
      <c r="G91" s="82"/>
      <c r="H91" s="33"/>
      <c r="I91" s="33"/>
    </row>
    <row r="92" spans="1:9" x14ac:dyDescent="0.35">
      <c r="A92" s="30" t="s">
        <v>170</v>
      </c>
      <c r="B92" s="40">
        <v>1</v>
      </c>
      <c r="C92" s="40">
        <v>1</v>
      </c>
      <c r="D92" s="40">
        <v>1</v>
      </c>
      <c r="E92" s="40">
        <v>1</v>
      </c>
      <c r="F92" s="40">
        <v>1</v>
      </c>
      <c r="G92" s="40">
        <v>1</v>
      </c>
      <c r="H92" s="77">
        <f t="shared" si="1"/>
        <v>1</v>
      </c>
      <c r="I92" s="77">
        <f t="shared" si="1"/>
        <v>1</v>
      </c>
    </row>
    <row r="93" spans="1:9" x14ac:dyDescent="0.35">
      <c r="A93" s="32" t="s">
        <v>171</v>
      </c>
      <c r="B93" s="82"/>
      <c r="C93" s="82"/>
      <c r="D93" s="82"/>
      <c r="E93" s="82"/>
      <c r="F93" s="82"/>
      <c r="G93" s="82"/>
      <c r="H93" s="42"/>
      <c r="I93" s="42"/>
    </row>
    <row r="94" spans="1:9" x14ac:dyDescent="0.35">
      <c r="A94" s="30" t="s">
        <v>172</v>
      </c>
      <c r="B94" s="40">
        <f>'Middle East 1995'!$G12/'Middle East 1995'!$J12*-1</f>
        <v>3.5043712420229446E-2</v>
      </c>
      <c r="C94" s="40">
        <f>'Middle East 2000'!$G12/'Middle East 2000'!$J12*-1</f>
        <v>1.8591686512232086E-2</v>
      </c>
      <c r="D94" s="40">
        <f>'Middle East 2005'!$G12/'Middle East 2005'!$J12*-1</f>
        <v>4.6144848425772496E-2</v>
      </c>
      <c r="E94" s="40">
        <f>'Middle East 2010'!$G12/'Middle East 2010'!$J12*-1</f>
        <v>2.1439488481007334E-2</v>
      </c>
      <c r="F94" s="40">
        <f>'Middle East 2015'!$G12/'Middle East 2015'!$J12*-1</f>
        <v>1.6464801453864822E-2</v>
      </c>
      <c r="G94" s="40">
        <f>'Middle East 2018'!$G12/'Middle East 2018'!$J12*-1</f>
        <v>1.6141653290529696E-2</v>
      </c>
      <c r="H94" s="77">
        <f t="shared" si="1"/>
        <v>1.6141653290529696E-2</v>
      </c>
      <c r="I94" s="77">
        <f t="shared" si="1"/>
        <v>1.6141653290529696E-2</v>
      </c>
    </row>
    <row r="95" spans="1:9" x14ac:dyDescent="0.35">
      <c r="A95" s="30" t="s">
        <v>145</v>
      </c>
      <c r="B95" s="40">
        <f>'Middle East 1995'!$H12/'Middle East 1995'!$J12*-1</f>
        <v>0</v>
      </c>
      <c r="C95" s="40">
        <f>'Middle East 2000'!$H12/'Middle East 2000'!$J12*-1</f>
        <v>8.1186403983546219E-5</v>
      </c>
      <c r="D95" s="40">
        <f>'Middle East 2005'!$H12/'Middle East 2005'!$J12*-1</f>
        <v>1.1697046495759821E-4</v>
      </c>
      <c r="E95" s="40">
        <f>'Middle East 2010'!$H12/'Middle East 2010'!$J12*-1</f>
        <v>2.1032853316880969E-4</v>
      </c>
      <c r="F95" s="40">
        <f>'Middle East 2015'!$H12/'Middle East 2015'!$J12*-1</f>
        <v>1.3711599360125364E-3</v>
      </c>
      <c r="G95" s="40">
        <f>'Middle East 2018'!$H12/'Middle East 2018'!$J12*-1</f>
        <v>4.5746388443017654E-3</v>
      </c>
      <c r="H95" s="77">
        <f t="shared" si="1"/>
        <v>4.5746388443017654E-3</v>
      </c>
      <c r="I95" s="77">
        <f t="shared" si="1"/>
        <v>4.5746388443017654E-3</v>
      </c>
    </row>
    <row r="96" spans="1:9" x14ac:dyDescent="0.35">
      <c r="A96" s="30" t="s">
        <v>173</v>
      </c>
      <c r="B96" s="40">
        <f t="shared" ref="B96:G96" si="2">1-B94-B95</f>
        <v>0.96495628757977059</v>
      </c>
      <c r="C96" s="40">
        <f t="shared" si="2"/>
        <v>0.98132712708378433</v>
      </c>
      <c r="D96" s="40">
        <f t="shared" si="2"/>
        <v>0.95373818110926989</v>
      </c>
      <c r="E96" s="40">
        <f t="shared" si="2"/>
        <v>0.97835018298582388</v>
      </c>
      <c r="F96" s="40">
        <f t="shared" si="2"/>
        <v>0.98216403861012258</v>
      </c>
      <c r="G96" s="40">
        <f t="shared" si="2"/>
        <v>0.9792837078651685</v>
      </c>
      <c r="H96" s="89">
        <f>1-H95-H94</f>
        <v>0.9792837078651685</v>
      </c>
      <c r="I96" s="89">
        <f>1-I95-I94</f>
        <v>0.9792837078651685</v>
      </c>
    </row>
    <row r="97" spans="1:9" x14ac:dyDescent="0.35">
      <c r="A97" s="32" t="s">
        <v>174</v>
      </c>
      <c r="B97" s="82"/>
      <c r="C97" s="82"/>
      <c r="D97" s="82"/>
      <c r="E97" s="82"/>
      <c r="F97" s="82"/>
      <c r="G97" s="82"/>
      <c r="H97" s="42"/>
      <c r="I97" s="42"/>
    </row>
    <row r="98" spans="1:9" x14ac:dyDescent="0.35">
      <c r="A98" s="30" t="s">
        <v>145</v>
      </c>
      <c r="B98" s="40">
        <f>'Middle East 1995'!$H13/IF(('Middle East 1995'!$J13+'Middle East 1995'!$K13)=0,1,('Middle East 1995'!$J13+'Middle East 1995'!$K13))*-1</f>
        <v>0</v>
      </c>
      <c r="C98" s="40">
        <f>'Middle East 2000'!$H13/IF(('Middle East 2000'!$J13+'Middle East 2000'!$K13)=0,1,('Middle East 2000'!$J13+'Middle East 2000'!$K13))*-1</f>
        <v>0</v>
      </c>
      <c r="D98" s="40">
        <f>'Middle East 2005'!$H13/IF(('Middle East 2005'!$J13+'Middle East 2005'!$K13)=0,1,('Middle East 2005'!$J13+'Middle East 2005'!$K13))*-1</f>
        <v>0</v>
      </c>
      <c r="E98" s="40">
        <f>'Middle East 2010'!$H13/IF(('Middle East 2010'!$J13+'Middle East 2010'!$K13)=0,1,('Middle East 2010'!$J13+'Middle East 2010'!$K13))*-1</f>
        <v>0</v>
      </c>
      <c r="F98" s="40">
        <f>'Middle East 2015'!$H13/IF(('Middle East 2015'!$J13+'Middle East 2015'!$K13)=0,1,('Middle East 2015'!$J13+'Middle East 2015'!$K13))*-1</f>
        <v>0</v>
      </c>
      <c r="G98" s="40">
        <f>'Middle East 2018'!$H13/IF(('Middle East 2018'!$J13+'Middle East 2018'!$K13)=0,1,('Middle East 2018'!$J13+'Middle East 2018'!$K13))*-1</f>
        <v>0</v>
      </c>
      <c r="H98" s="77">
        <f t="shared" si="1"/>
        <v>0</v>
      </c>
      <c r="I98" s="77">
        <f t="shared" si="1"/>
        <v>0</v>
      </c>
    </row>
    <row r="99" spans="1:9" x14ac:dyDescent="0.35">
      <c r="A99" s="30" t="s">
        <v>173</v>
      </c>
      <c r="B99" s="40">
        <f t="shared" ref="B99:G99" si="3">1-B98</f>
        <v>1</v>
      </c>
      <c r="C99" s="40">
        <f t="shared" si="3"/>
        <v>1</v>
      </c>
      <c r="D99" s="40">
        <f t="shared" si="3"/>
        <v>1</v>
      </c>
      <c r="E99" s="40">
        <f t="shared" si="3"/>
        <v>1</v>
      </c>
      <c r="F99" s="40">
        <f t="shared" si="3"/>
        <v>1</v>
      </c>
      <c r="G99" s="40">
        <f t="shared" si="3"/>
        <v>1</v>
      </c>
      <c r="H99" s="89">
        <f>1-H98</f>
        <v>1</v>
      </c>
      <c r="I99" s="89">
        <f>1-I98</f>
        <v>1</v>
      </c>
    </row>
    <row r="100" spans="1:9" x14ac:dyDescent="0.35">
      <c r="A100" s="32" t="s">
        <v>175</v>
      </c>
      <c r="B100" s="82"/>
      <c r="C100" s="82"/>
      <c r="D100" s="82"/>
      <c r="E100" s="82"/>
      <c r="F100" s="82"/>
      <c r="G100" s="82"/>
      <c r="H100" s="42"/>
      <c r="I100" s="42"/>
    </row>
    <row r="101" spans="1:9" x14ac:dyDescent="0.35">
      <c r="A101" s="30" t="s">
        <v>145</v>
      </c>
      <c r="B101" s="40">
        <f>'Middle East 1995'!$H14/IF('Middle East 1995'!$K14=0,1,'Middle East 1995'!$K14)*-1</f>
        <v>0</v>
      </c>
      <c r="C101" s="40">
        <f>'Middle East 2000'!$H14/IF('Middle East 2000'!$K14=0,1,'Middle East 2000'!$K14)*-1</f>
        <v>0</v>
      </c>
      <c r="D101" s="40">
        <f>'Middle East 2005'!$H14/IF('Middle East 2005'!$K14=0,1,'Middle East 2005'!$K14)*-1</f>
        <v>0</v>
      </c>
      <c r="E101" s="40">
        <f>'Middle East 2010'!$H14/IF('Middle East 2010'!$K14=0,1,'Middle East 2010'!$K14)*-1</f>
        <v>0</v>
      </c>
      <c r="F101" s="40">
        <f>'Middle East 2015'!$H14/IF('Middle East 2015'!$K14=0,1,'Middle East 2015'!$K14)*-1</f>
        <v>0</v>
      </c>
      <c r="G101" s="40">
        <f>'Middle East 2018'!$H14/IF('Middle East 2018'!$K14=0,1,'Middle East 2018'!$K14)*-1</f>
        <v>0</v>
      </c>
      <c r="H101" s="77">
        <f t="shared" si="1"/>
        <v>0</v>
      </c>
      <c r="I101" s="77">
        <f t="shared" si="1"/>
        <v>0</v>
      </c>
    </row>
    <row r="102" spans="1:9" x14ac:dyDescent="0.35">
      <c r="A102" s="30" t="s">
        <v>173</v>
      </c>
      <c r="B102" s="40">
        <f t="shared" ref="B102:G102" si="4">1-B101</f>
        <v>1</v>
      </c>
      <c r="C102" s="40">
        <f t="shared" si="4"/>
        <v>1</v>
      </c>
      <c r="D102" s="40">
        <f t="shared" si="4"/>
        <v>1</v>
      </c>
      <c r="E102" s="40">
        <f t="shared" si="4"/>
        <v>1</v>
      </c>
      <c r="F102" s="40">
        <f t="shared" si="4"/>
        <v>1</v>
      </c>
      <c r="G102" s="40">
        <f t="shared" si="4"/>
        <v>1</v>
      </c>
      <c r="H102" s="89">
        <f>1-H101</f>
        <v>1</v>
      </c>
      <c r="I102" s="89">
        <f>1-I101</f>
        <v>1</v>
      </c>
    </row>
    <row r="103" spans="1:9" x14ac:dyDescent="0.35">
      <c r="A103" s="31" t="s">
        <v>176</v>
      </c>
      <c r="B103" s="81"/>
      <c r="C103" s="81"/>
      <c r="D103" s="81"/>
      <c r="E103" s="81"/>
      <c r="F103" s="81"/>
      <c r="G103" s="81"/>
      <c r="H103" s="42"/>
      <c r="I103" s="42"/>
    </row>
    <row r="104" spans="1:9" x14ac:dyDescent="0.35">
      <c r="A104" s="30" t="s">
        <v>177</v>
      </c>
      <c r="B104" s="40">
        <f>('Middle East 1995'!$J12+'Middle East 1995'!$G12+'Middle East 1995'!$H12)/('Middle East 1995'!$B12+'Middle East 1995'!$D12+'Middle East 1995'!$E12+'Middle East 1995'!$F12+'Middle East 1995'!$I12)*-1</f>
        <v>0.35570150390253191</v>
      </c>
      <c r="C104" s="40">
        <f>('Middle East 2000'!$J12+'Middle East 2000'!$G12+'Middle East 2000'!$H12)/('Middle East 2000'!$B12+'Middle East 2000'!$D12+'Middle East 2000'!$E12+'Middle East 2000'!$F12+'Middle East 2000'!$I12)*-1</f>
        <v>0.36280503056558844</v>
      </c>
      <c r="D104" s="40">
        <f>('Middle East 2005'!$J12+'Middle East 2005'!$G12+'Middle East 2005'!$H12)/('Middle East 2005'!$B12+'Middle East 2005'!$D12+'Middle East 2005'!$E12+'Middle East 2005'!$F12+'Middle East 2005'!$I12)*-1</f>
        <v>0.33816972771952136</v>
      </c>
      <c r="E104" s="40">
        <f>('Middle East 2010'!$J12+'Middle East 2010'!$G12+'Middle East 2010'!$H12)/('Middle East 2010'!$B12+'Middle East 2010'!$D12+'Middle East 2010'!$E12+'Middle East 2010'!$F12+'Middle East 2010'!$I12)*-1</f>
        <v>0.37546884501342631</v>
      </c>
      <c r="F104" s="40">
        <f>('Middle East 2015'!$J12+'Middle East 2015'!$G12+'Middle East 2015'!$H12)/('Middle East 2015'!$B12+'Middle East 2015'!$D12+'Middle East 2015'!$E12+'Middle East 2015'!$F12+'Middle East 2015'!$I12)*-1</f>
        <v>0.4137984787562296</v>
      </c>
      <c r="G104" s="40">
        <f>('Middle East 2018'!$J12+'Middle East 2018'!$G12+'Middle East 2018'!$H12)/('Middle East 2018'!$B12+'Middle East 2018'!$D12+'Middle East 2018'!$E12+'Middle East 2018'!$F12+'Middle East 2018'!$I12)*-1</f>
        <v>0.42138275186269175</v>
      </c>
      <c r="H104" s="77">
        <f t="shared" si="1"/>
        <v>0.42138275186269175</v>
      </c>
      <c r="I104" s="77">
        <f t="shared" si="1"/>
        <v>0.42138275186269175</v>
      </c>
    </row>
    <row r="105" spans="1:9" x14ac:dyDescent="0.35">
      <c r="A105" s="30" t="s">
        <v>163</v>
      </c>
      <c r="B105" s="40">
        <f>('Middle East 1995'!$J13+'Middle East 1995'!$K13+'Middle East 1995'!$H13)/IF(('Middle East 1995'!$B13+'Middle East 1995'!$D13+'Middle East 1995'!$E13+'Middle East 1995'!$F13+'Middle East 1995'!$I13)=0,1,('Middle East 1995'!$B13+'Middle East 1995'!$D13+'Middle East 1995'!$E13+'Middle East 1995'!$F13+'Middle East 1995'!$I13))*-1</f>
        <v>0</v>
      </c>
      <c r="C105" s="40">
        <f>('Middle East 2000'!$J13+'Middle East 2000'!$K13+'Middle East 2000'!$H13)/IF(('Middle East 2000'!$B13+'Middle East 2000'!$D13+'Middle East 2000'!$E13+'Middle East 2000'!$F13+'Middle East 2000'!$I13)=0,1,('Middle East 2000'!$B13+'Middle East 2000'!$D13+'Middle East 2000'!$E13+'Middle East 2000'!$F13+'Middle East 2000'!$I13))*-1</f>
        <v>0</v>
      </c>
      <c r="D105" s="40">
        <f>('Middle East 2005'!$J13+'Middle East 2005'!$K13+'Middle East 2005'!$H13)/IF(('Middle East 2005'!$B13+'Middle East 2005'!$D13+'Middle East 2005'!$E13+'Middle East 2005'!$F13+'Middle East 2005'!$I13)=0,1,('Middle East 2005'!$B13+'Middle East 2005'!$D13+'Middle East 2005'!$E13+'Middle East 2005'!$F13+'Middle East 2005'!$I13))*-1</f>
        <v>0</v>
      </c>
      <c r="E105" s="40">
        <f>('Middle East 2010'!$J13+'Middle East 2010'!$K13+'Middle East 2010'!$H13)/IF(('Middle East 2010'!$B13+'Middle East 2010'!$D13+'Middle East 2010'!$E13+'Middle East 2010'!$F13+'Middle East 2010'!$I13)=0,1,('Middle East 2010'!$B13+'Middle East 2010'!$D13+'Middle East 2010'!$E13+'Middle East 2010'!$F13+'Middle East 2010'!$I13))*-1</f>
        <v>0</v>
      </c>
      <c r="F105" s="40">
        <f>('Middle East 2015'!$J13+'Middle East 2015'!$K13+'Middle East 2015'!$H13)/IF(('Middle East 2015'!$B13+'Middle East 2015'!$D13+'Middle East 2015'!$E13+'Middle East 2015'!$F13+'Middle East 2015'!$I13)=0,1,('Middle East 2015'!$B13+'Middle East 2015'!$D13+'Middle East 2015'!$E13+'Middle East 2015'!$F13+'Middle East 2015'!$I13))*-1</f>
        <v>0</v>
      </c>
      <c r="G105" s="40">
        <f>('Middle East 2018'!$J13+'Middle East 2018'!$K13+'Middle East 2018'!$H13)/IF(('Middle East 2018'!$B13+'Middle East 2018'!$D13+'Middle East 2018'!$E13+'Middle East 2018'!$F13+'Middle East 2018'!$I13)=0,1,('Middle East 2018'!$B13+'Middle East 2018'!$D13+'Middle East 2018'!$E13+'Middle East 2018'!$F13+'Middle East 2018'!$I13))*-1</f>
        <v>0</v>
      </c>
      <c r="H105" s="77">
        <f t="shared" si="1"/>
        <v>0</v>
      </c>
      <c r="I105" s="77">
        <f t="shared" si="1"/>
        <v>0</v>
      </c>
    </row>
    <row r="106" spans="1:9" x14ac:dyDescent="0.35">
      <c r="A106" s="30" t="s">
        <v>178</v>
      </c>
      <c r="B106" s="40">
        <f>('Middle East 1995'!$K14+'Middle East 1995'!$H14)/IF(('Middle East 1995'!$B14+'Middle East 1995'!$D14+'Middle East 1995'!$E14+'Middle East 1995'!$I14)=0,1,('Middle East 1995'!$B14+'Middle East 1995'!$D14+'Middle East 1995'!$E14+'Middle East 1995'!$I14))*-1</f>
        <v>0</v>
      </c>
      <c r="C106" s="40">
        <f>('Middle East 2000'!$K14+'Middle East 2000'!$H14)/IF(('Middle East 2000'!$B14+'Middle East 2000'!$D14+'Middle East 2000'!$E14+'Middle East 2000'!$I14)=0,1,('Middle East 2000'!$B14+'Middle East 2000'!$D14+'Middle East 2000'!$E14+'Middle East 2000'!$I14))*-1</f>
        <v>0</v>
      </c>
      <c r="D106" s="40">
        <f>('Middle East 2005'!$K14+'Middle East 2005'!$H14)/IF(('Middle East 2005'!$B14+'Middle East 2005'!$D14+'Middle East 2005'!$E14+'Middle East 2005'!$I14)=0,1,('Middle East 2005'!$B14+'Middle East 2005'!$D14+'Middle East 2005'!$E14+'Middle East 2005'!$I14))*-1</f>
        <v>0</v>
      </c>
      <c r="E106" s="40">
        <f>('Middle East 2010'!$K14+'Middle East 2010'!$H14)/IF(('Middle East 2010'!$B14+'Middle East 2010'!$D14+'Middle East 2010'!$E14+'Middle East 2010'!$I14)=0,1,('Middle East 2010'!$B14+'Middle East 2010'!$D14+'Middle East 2010'!$E14+'Middle East 2010'!$I14))*-1</f>
        <v>0</v>
      </c>
      <c r="F106" s="40">
        <f>('Middle East 2015'!$K14+'Middle East 2015'!$H14)/IF(('Middle East 2015'!$B14+'Middle East 2015'!$D14+'Middle East 2015'!$E14+'Middle East 2015'!$I14)=0,1,('Middle East 2015'!$B14+'Middle East 2015'!$D14+'Middle East 2015'!$E14+'Middle East 2015'!$I14))*-1</f>
        <v>0</v>
      </c>
      <c r="G106" s="40">
        <f>('Middle East 2018'!$K14+'Middle East 2018'!$H14)/IF(('Middle East 2018'!$B14+'Middle East 2018'!$D14+'Middle East 2018'!$E14+'Middle East 2018'!$I14)=0,1,('Middle East 2018'!$B14+'Middle East 2018'!$D14+'Middle East 2018'!$E14+'Middle East 2018'!$I14))*-1</f>
        <v>0</v>
      </c>
      <c r="H106" s="77">
        <f t="shared" si="1"/>
        <v>0</v>
      </c>
      <c r="I106" s="77">
        <f t="shared" si="1"/>
        <v>0</v>
      </c>
    </row>
    <row r="107" spans="1:9" x14ac:dyDescent="0.35">
      <c r="A107" s="30" t="s">
        <v>170</v>
      </c>
      <c r="B107" s="40">
        <f>'Middle East 1995'!$D16/IF('Middle East 1995'!$C16=0,1,'Middle East 1995'!$C16)*-1</f>
        <v>0.94700732466227311</v>
      </c>
      <c r="C107" s="40">
        <f>'Middle East 2000'!$D16/IF('Middle East 2000'!$C16=0,1,'Middle East 2000'!$C16)*-1</f>
        <v>0.97210502299132995</v>
      </c>
      <c r="D107" s="40">
        <f>'Middle East 2005'!$D16/IF('Middle East 2005'!$C16=0,1,'Middle East 2005'!$C16)*-1</f>
        <v>0.97831264219615011</v>
      </c>
      <c r="E107" s="40">
        <f>'Middle East 2010'!$D16/IF('Middle East 2010'!$C16=0,1,'Middle East 2010'!$C16)*-1</f>
        <v>0.97911431648337299</v>
      </c>
      <c r="F107" s="40">
        <f>'Middle East 2015'!$D16/IF('Middle East 2015'!$C16=0,1,'Middle East 2015'!$C16)*-1</f>
        <v>0.98507378102095233</v>
      </c>
      <c r="G107" s="40">
        <f>'Middle East 2018'!$D16/IF('Middle East 2018'!$C16=0,1,'Middle East 2018'!$C16)*-1</f>
        <v>0.97387546992597962</v>
      </c>
      <c r="H107" s="77">
        <f t="shared" si="1"/>
        <v>0.97387546992597962</v>
      </c>
      <c r="I107" s="77">
        <f t="shared" si="1"/>
        <v>0.97387546992597962</v>
      </c>
    </row>
    <row r="108" spans="1:9" x14ac:dyDescent="0.35">
      <c r="A108" s="32" t="s">
        <v>179</v>
      </c>
      <c r="B108" s="82"/>
      <c r="C108" s="82"/>
      <c r="D108" s="82"/>
      <c r="E108" s="82"/>
      <c r="F108" s="82"/>
      <c r="G108" s="82"/>
      <c r="H108" s="42"/>
      <c r="I108" s="42"/>
    </row>
    <row r="109" spans="1:9" x14ac:dyDescent="0.35">
      <c r="A109" s="30" t="s">
        <v>141</v>
      </c>
      <c r="B109" s="40">
        <f>'Middle East 1995'!$B12/('Middle East 1995'!$L12-'Middle East 1995'!$J12-'Middle East 1995'!$G12-'Middle East 1995'!$H12)</f>
        <v>2.985520226899537E-4</v>
      </c>
      <c r="C109" s="40">
        <f>'Middle East 2000'!$B12/('Middle East 2000'!$L12-'Middle East 2000'!$J12-'Middle East 2000'!$G12-'Middle East 2000'!$H12)</f>
        <v>1.4335775724753105E-3</v>
      </c>
      <c r="D109" s="40">
        <f>'Middle East 2005'!$B12/('Middle East 2005'!$L12-'Middle East 2005'!$J12-'Middle East 2005'!$G12-'Middle East 2005'!$H12)</f>
        <v>1.2329981119716411E-3</v>
      </c>
      <c r="E109" s="40">
        <f>'Middle East 2010'!$B12/('Middle East 2010'!$L12-'Middle East 2010'!$J12-'Middle East 2010'!$G12-'Middle East 2010'!$H12)</f>
        <v>5.7033503648258827E-4</v>
      </c>
      <c r="F109" s="40">
        <f>'Middle East 2015'!$B12/('Middle East 2015'!$L12-'Middle East 2015'!$J12-'Middle East 2015'!$G12-'Middle East 2015'!$H12)</f>
        <v>6.1674902998649396E-4</v>
      </c>
      <c r="G109" s="40">
        <f>'Middle East 2018'!$B12/('Middle East 2018'!$L12-'Middle East 2018'!$J12-'Middle East 2018'!$G12-'Middle East 2018'!$H12)</f>
        <v>9.6564990169683998E-4</v>
      </c>
      <c r="H109" s="89">
        <f>1-H110-H111-H112-H113-H114</f>
        <v>9.6951250130369719E-4</v>
      </c>
      <c r="I109" s="89">
        <f>1-I110-I111-I112-I113-I114</f>
        <v>9.6951250130369719E-4</v>
      </c>
    </row>
    <row r="110" spans="1:9" x14ac:dyDescent="0.35">
      <c r="A110" s="30" t="s">
        <v>142</v>
      </c>
      <c r="B110" s="40">
        <f>'Middle East 1995'!$C12/('Middle East 1995'!$L12-'Middle East 1995'!$J12-'Middle East 1995'!$G12-'Middle East 1995'!$H12)</f>
        <v>0.21586377497707546</v>
      </c>
      <c r="C110" s="40">
        <f>'Middle East 2000'!$C12/('Middle East 2000'!$L12-'Middle East 2000'!$J12-'Middle East 2000'!$G12-'Middle East 2000'!$H12)</f>
        <v>0.11553573324838058</v>
      </c>
      <c r="D110" s="40">
        <f>'Middle East 2005'!$C12/('Middle East 2005'!$L12-'Middle East 2005'!$J12-'Middle East 2005'!$G12-'Middle East 2005'!$H12)</f>
        <v>7.0968031955201072E-2</v>
      </c>
      <c r="E110" s="40">
        <f>'Middle East 2010'!$C12/('Middle East 2010'!$L12-'Middle East 2010'!$J12-'Middle East 2010'!$G12-'Middle East 2010'!$H12)</f>
        <v>0.12409264880559588</v>
      </c>
      <c r="F110" s="40">
        <f>'Middle East 2015'!$C12/('Middle East 2015'!$L12-'Middle East 2015'!$J12-'Middle East 2015'!$G12-'Middle East 2015'!$H12)</f>
        <v>0.14862090232725172</v>
      </c>
      <c r="G110" s="40">
        <f>'Middle East 2018'!$C12/('Middle East 2018'!$L12-'Middle East 2018'!$J12-'Middle East 2018'!$G12-'Middle East 2018'!$H12)</f>
        <v>0.10520948808967412</v>
      </c>
      <c r="H110" s="77">
        <f t="shared" si="1"/>
        <v>0.10520948808967412</v>
      </c>
      <c r="I110" s="77">
        <f t="shared" si="1"/>
        <v>0.10520948808967412</v>
      </c>
    </row>
    <row r="111" spans="1:9" x14ac:dyDescent="0.35">
      <c r="A111" s="30" t="s">
        <v>143</v>
      </c>
      <c r="B111" s="40">
        <f>'Middle East 1995'!$D12/('Middle East 1995'!$L12-'Middle East 1995'!$J12-'Middle East 1995'!$G12-'Middle East 1995'!$H12)</f>
        <v>0.27392148081803253</v>
      </c>
      <c r="C111" s="40">
        <f>'Middle East 2000'!$D12/('Middle East 2000'!$L12-'Middle East 2000'!$J12-'Middle East 2000'!$G12-'Middle East 2000'!$H12)</f>
        <v>0.30334324448692079</v>
      </c>
      <c r="D111" s="40">
        <f>'Middle East 2005'!$D12/('Middle East 2005'!$L12-'Middle East 2005'!$J12-'Middle East 2005'!$G12-'Middle East 2005'!$H12)</f>
        <v>0.28051349233871486</v>
      </c>
      <c r="E111" s="40">
        <f>'Middle East 2010'!$D12/('Middle East 2010'!$L12-'Middle East 2010'!$J12-'Middle East 2010'!$G12-'Middle East 2010'!$H12)</f>
        <v>0.26699692678972076</v>
      </c>
      <c r="F111" s="40">
        <f>'Middle East 2015'!$D12/('Middle East 2015'!$L12-'Middle East 2015'!$J12-'Middle East 2015'!$G12-'Middle East 2015'!$H12)</f>
        <v>0.23982949621753286</v>
      </c>
      <c r="G111" s="40">
        <f>'Middle East 2018'!$D12/('Middle East 2018'!$L12-'Middle East 2018'!$J12-'Middle East 2018'!$G12-'Middle East 2018'!$H12)</f>
        <v>0.16244935166265601</v>
      </c>
      <c r="H111" s="77">
        <f t="shared" si="1"/>
        <v>0.16244935166265601</v>
      </c>
      <c r="I111" s="77">
        <f t="shared" si="1"/>
        <v>0.16244935166265601</v>
      </c>
    </row>
    <row r="112" spans="1:9" x14ac:dyDescent="0.35">
      <c r="A112" s="30" t="s">
        <v>241</v>
      </c>
      <c r="B112" s="40">
        <f>'Middle East 1995'!$E12/('Middle East 1995'!$L12-'Middle East 1995'!$J12-'Middle East 1995'!$G12-'Middle East 1995'!$H12)</f>
        <v>0.50992685475444099</v>
      </c>
      <c r="C112" s="40">
        <f>'Middle East 2000'!$E12/('Middle East 2000'!$L12-'Middle East 2000'!$J12-'Middle East 2000'!$G12-'Middle East 2000'!$H12)</f>
        <v>0.57968744469222333</v>
      </c>
      <c r="D112" s="40">
        <f>'Middle East 2005'!$E12/('Middle East 2005'!$L12-'Middle East 2005'!$J12-'Middle East 2005'!$G12-'Middle East 2005'!$H12)</f>
        <v>0.64727905572894595</v>
      </c>
      <c r="E112" s="40">
        <f>'Middle East 2010'!$E12/('Middle East 2010'!$L12-'Middle East 2010'!$J12-'Middle East 2010'!$G12-'Middle East 2010'!$H12)</f>
        <v>0.60831180829201159</v>
      </c>
      <c r="F112" s="40">
        <f>'Middle East 2015'!$E12/('Middle East 2015'!$L12-'Middle East 2015'!$J12-'Middle East 2015'!$G12-'Middle East 2015'!$H12)</f>
        <v>0.6079623080466231</v>
      </c>
      <c r="G112" s="40">
        <f>'Middle East 2018'!$E12/('Middle East 2018'!$L12-'Middle East 2018'!$J12-'Middle East 2018'!$G12-'Middle East 2018'!$H12)</f>
        <v>0.72370052492728654</v>
      </c>
      <c r="H112" s="77">
        <f t="shared" si="1"/>
        <v>0.72370052492728654</v>
      </c>
      <c r="I112" s="77">
        <f t="shared" si="1"/>
        <v>0.72370052492728654</v>
      </c>
    </row>
    <row r="113" spans="1:11" x14ac:dyDescent="0.35">
      <c r="A113" s="30" t="s">
        <v>180</v>
      </c>
      <c r="B113" s="40">
        <f>'Middle East 1995'!$F12/('Middle East 1995'!$L12-'Middle East 1995'!$J12-'Middle East 1995'!$G12-'Middle East 1995'!$H12)</f>
        <v>0</v>
      </c>
      <c r="C113" s="40">
        <f>'Middle East 2000'!$F12/('Middle East 2000'!$L12-'Middle East 2000'!$J12-'Middle East 2000'!$G12-'Middle East 2000'!$H12)</f>
        <v>0</v>
      </c>
      <c r="D113" s="40">
        <f>'Middle East 2005'!$F12/('Middle East 2005'!$L12-'Middle East 2005'!$J12-'Middle East 2005'!$G12-'Middle East 2005'!$H12)</f>
        <v>0</v>
      </c>
      <c r="E113" s="40">
        <f>'Middle East 2010'!$F12/('Middle East 2010'!$L12-'Middle East 2010'!$J12-'Middle East 2010'!$G12-'Middle East 2010'!$H12)</f>
        <v>0</v>
      </c>
      <c r="F113" s="40">
        <f>'Middle East 2015'!$F12/('Middle East 2015'!$L12-'Middle East 2015'!$J12-'Middle East 2015'!$G12-'Middle East 2015'!$H12)</f>
        <v>2.9627374288591704E-3</v>
      </c>
      <c r="G113" s="40">
        <f>'Middle East 2018'!$F12/('Middle East 2018'!$L12-'Middle East 2018'!$J12-'Middle East 2018'!$G12-'Middle East 2018'!$H12)</f>
        <v>7.6402220222253981E-3</v>
      </c>
      <c r="H113" s="77">
        <f t="shared" si="1"/>
        <v>7.6402220222253981E-3</v>
      </c>
      <c r="I113" s="77">
        <f t="shared" si="1"/>
        <v>7.6402220222253981E-3</v>
      </c>
    </row>
    <row r="114" spans="1:11" x14ac:dyDescent="0.35">
      <c r="A114" s="30" t="s">
        <v>146</v>
      </c>
      <c r="B114" s="40">
        <f>'Middle East 1995'!$I12/('Middle East 1995'!$L12-'Middle East 1995'!$J12-'Middle East 1995'!$G12-'Middle East 1995'!$H12)</f>
        <v>0</v>
      </c>
      <c r="C114" s="40">
        <f>'Middle East 2000'!$I12/('Middle East 2000'!$L12-'Middle East 2000'!$J12-'Middle East 2000'!$G12-'Middle East 2000'!$H12)</f>
        <v>8.8492442745389537E-6</v>
      </c>
      <c r="D114" s="40">
        <f>'Middle East 2005'!$I12/('Middle East 2005'!$L12-'Middle East 2005'!$J12-'Middle East 2005'!$G12-'Middle East 2005'!$H12)</f>
        <v>6.4218651665189639E-6</v>
      </c>
      <c r="E114" s="40">
        <f>'Middle East 2010'!$I12/('Middle East 2010'!$L12-'Middle East 2010'!$J12-'Middle East 2010'!$G12-'Middle East 2010'!$H12)</f>
        <v>2.8281076189219253E-5</v>
      </c>
      <c r="F114" s="40">
        <f>'Middle East 2015'!$I12/('Middle East 2015'!$L12-'Middle East 2015'!$J12-'Middle East 2015'!$G12-'Middle East 2015'!$H12)</f>
        <v>1.9517374366661202E-5</v>
      </c>
      <c r="G114" s="40">
        <f>'Middle East 2018'!$I12/('Middle East 2018'!$L12-'Middle East 2018'!$J12-'Middle East 2018'!$G12-'Middle East 2018'!$H12)</f>
        <v>3.090079685429888E-5</v>
      </c>
      <c r="H114" s="77">
        <f t="shared" si="1"/>
        <v>3.090079685429888E-5</v>
      </c>
      <c r="I114" s="77">
        <f t="shared" si="1"/>
        <v>3.090079685429888E-5</v>
      </c>
    </row>
    <row r="115" spans="1:11" x14ac:dyDescent="0.35">
      <c r="A115" s="32" t="s">
        <v>181</v>
      </c>
      <c r="B115" s="82"/>
      <c r="C115" s="82"/>
      <c r="D115" s="82"/>
      <c r="E115" s="82"/>
      <c r="F115" s="82"/>
      <c r="G115" s="82"/>
      <c r="H115" s="42"/>
      <c r="I115" s="42"/>
    </row>
    <row r="116" spans="1:11" x14ac:dyDescent="0.35">
      <c r="A116" s="30" t="s">
        <v>141</v>
      </c>
      <c r="B116" s="40">
        <f>'Middle East 1995'!$B13/IF(('Middle East 1995'!$L13-'Middle East 1995'!$J13-'Middle East 1995'!$K13-'Middle East 1995'!$G13-'Middle East 1995'!$H13)=0,1,('Middle East 1995'!$L13-'Middle East 1995'!$J13-'Middle East 1995'!$K13-'Middle East 1995'!$G13-'Middle East 1995'!$H13))</f>
        <v>0</v>
      </c>
      <c r="C116" s="40">
        <f>'Middle East 2000'!$B13/IF(('Middle East 2000'!$L13-'Middle East 2000'!$J13-'Middle East 2000'!$K13-'Middle East 2000'!$G13-'Middle East 2000'!$H13)=0,1,('Middle East 2000'!$L13-'Middle East 2000'!$J13-'Middle East 2000'!$K13-'Middle East 2000'!$G13-'Middle East 2000'!$H13))</f>
        <v>0</v>
      </c>
      <c r="D116" s="40">
        <f>'Middle East 2005'!$B13/IF(('Middle East 2005'!$L13-'Middle East 2005'!$J13-'Middle East 2005'!$K13-'Middle East 2005'!$G13-'Middle East 2005'!$H13)=0,1,('Middle East 2005'!$L13-'Middle East 2005'!$J13-'Middle East 2005'!$K13-'Middle East 2005'!$G13-'Middle East 2005'!$H13))</f>
        <v>0</v>
      </c>
      <c r="E116" s="40">
        <f>'Middle East 2010'!$B13/IF(('Middle East 2010'!$L13-'Middle East 2010'!$J13-'Middle East 2010'!$K13-'Middle East 2010'!$G13-'Middle East 2010'!$H13)=0,1,('Middle East 2010'!$L13-'Middle East 2010'!$J13-'Middle East 2010'!$K13-'Middle East 2010'!$G13-'Middle East 2010'!$H13))</f>
        <v>0</v>
      </c>
      <c r="F116" s="40">
        <f>'Middle East 2015'!$B13/IF(('Middle East 2015'!$L13-'Middle East 2015'!$J13-'Middle East 2015'!$K13-'Middle East 2015'!$G13-'Middle East 2015'!$H13)=0,1,('Middle East 2015'!$L13-'Middle East 2015'!$J13-'Middle East 2015'!$K13-'Middle East 2015'!$G13-'Middle East 2015'!$H13))</f>
        <v>0</v>
      </c>
      <c r="G116" s="40">
        <f>'Middle East 2018'!$B13/IF(('Middle East 2018'!$L13-'Middle East 2018'!$J13-'Middle East 2018'!$K13-'Middle East 2018'!$G13-'Middle East 2018'!$H13)=0,1,('Middle East 2018'!$L13-'Middle East 2018'!$J13-'Middle East 2018'!$K13-'Middle East 2018'!$G13-'Middle East 2018'!$H13))</f>
        <v>0</v>
      </c>
      <c r="H116" s="89">
        <f>1-H117-H118-H119-H120-H121</f>
        <v>1</v>
      </c>
      <c r="I116" s="89">
        <f>1-I117-I118-I119-I120-I121</f>
        <v>1</v>
      </c>
    </row>
    <row r="117" spans="1:11" x14ac:dyDescent="0.35">
      <c r="A117" s="30" t="s">
        <v>142</v>
      </c>
      <c r="B117" s="40">
        <f>'Middle East 1995'!$C13/IF(('Middle East 1995'!$L13-'Middle East 1995'!$J13-'Middle East 1995'!$K13-'Middle East 1995'!$G13-'Middle East 1995'!$H13)=0,1,('Middle East 1995'!$L13-'Middle East 1995'!$J13-'Middle East 1995'!$K13-'Middle East 1995'!$G13-'Middle East 1995'!$H13))</f>
        <v>0</v>
      </c>
      <c r="C117" s="40">
        <f>'Middle East 2000'!$C13/IF(('Middle East 2000'!$L13-'Middle East 2000'!$J13-'Middle East 2000'!$K13-'Middle East 2000'!$G13-'Middle East 2000'!$H13)=0,1,('Middle East 2000'!$L13-'Middle East 2000'!$J13-'Middle East 2000'!$K13-'Middle East 2000'!$G13-'Middle East 2000'!$H13))</f>
        <v>0</v>
      </c>
      <c r="D117" s="40">
        <f>'Middle East 2005'!$C13/IF(('Middle East 2005'!$L13-'Middle East 2005'!$J13-'Middle East 2005'!$K13-'Middle East 2005'!$G13-'Middle East 2005'!$H13)=0,1,('Middle East 2005'!$L13-'Middle East 2005'!$J13-'Middle East 2005'!$K13-'Middle East 2005'!$G13-'Middle East 2005'!$H13))</f>
        <v>0</v>
      </c>
      <c r="E117" s="40">
        <f>'Middle East 2010'!$C13/IF(('Middle East 2010'!$L13-'Middle East 2010'!$J13-'Middle East 2010'!$K13-'Middle East 2010'!$G13-'Middle East 2010'!$H13)=0,1,('Middle East 2010'!$L13-'Middle East 2010'!$J13-'Middle East 2010'!$K13-'Middle East 2010'!$G13-'Middle East 2010'!$H13))</f>
        <v>0</v>
      </c>
      <c r="F117" s="40">
        <f>'Middle East 2015'!$C13/IF(('Middle East 2015'!$L13-'Middle East 2015'!$J13-'Middle East 2015'!$K13-'Middle East 2015'!$G13-'Middle East 2015'!$H13)=0,1,('Middle East 2015'!$L13-'Middle East 2015'!$J13-'Middle East 2015'!$K13-'Middle East 2015'!$G13-'Middle East 2015'!$H13))</f>
        <v>0</v>
      </c>
      <c r="G117" s="40">
        <f>'Middle East 2018'!$C13/IF(('Middle East 2018'!$L13-'Middle East 2018'!$J13-'Middle East 2018'!$K13-'Middle East 2018'!$G13-'Middle East 2018'!$H13)=0,1,('Middle East 2018'!$L13-'Middle East 2018'!$J13-'Middle East 2018'!$K13-'Middle East 2018'!$G13-'Middle East 2018'!$H13))</f>
        <v>0</v>
      </c>
      <c r="H117" s="77">
        <f t="shared" si="1"/>
        <v>0</v>
      </c>
      <c r="I117" s="77">
        <f t="shared" si="1"/>
        <v>0</v>
      </c>
    </row>
    <row r="118" spans="1:11" x14ac:dyDescent="0.35">
      <c r="A118" s="30" t="s">
        <v>143</v>
      </c>
      <c r="B118" s="40">
        <f>'Middle East 1995'!$D13/IF('Middle East 1995'!$L13-'Middle East 1995'!$J13-'Middle East 1995'!$K13-'Middle East 1995'!$G13-'Middle East 1995'!$H13=0,1,('Middle East 1995'!$L13-'Middle East 1995'!$J13-'Middle East 1995'!$K13-'Middle East 1995'!$G13-'Middle East 1995'!$H13))</f>
        <v>0</v>
      </c>
      <c r="C118" s="40">
        <f>'Middle East 2000'!$D13/IF('Middle East 2000'!$L13-'Middle East 2000'!$J13-'Middle East 2000'!$K13-'Middle East 2000'!$G13-'Middle East 2000'!$H13=0,1,('Middle East 2000'!$L13-'Middle East 2000'!$J13-'Middle East 2000'!$K13-'Middle East 2000'!$G13-'Middle East 2000'!$H13))</f>
        <v>0</v>
      </c>
      <c r="D118" s="40">
        <f>'Middle East 2005'!$D13/IF('Middle East 2005'!$L13-'Middle East 2005'!$J13-'Middle East 2005'!$K13-'Middle East 2005'!$G13-'Middle East 2005'!$H13=0,1,('Middle East 2005'!$L13-'Middle East 2005'!$J13-'Middle East 2005'!$K13-'Middle East 2005'!$G13-'Middle East 2005'!$H13))</f>
        <v>0</v>
      </c>
      <c r="E118" s="40">
        <f>'Middle East 2010'!$D13/IF('Middle East 2010'!$L13-'Middle East 2010'!$J13-'Middle East 2010'!$K13-'Middle East 2010'!$G13-'Middle East 2010'!$H13=0,1,('Middle East 2010'!$L13-'Middle East 2010'!$J13-'Middle East 2010'!$K13-'Middle East 2010'!$G13-'Middle East 2010'!$H13))</f>
        <v>0</v>
      </c>
      <c r="F118" s="40">
        <f>'Middle East 2015'!$D13/IF('Middle East 2015'!$L13-'Middle East 2015'!$J13-'Middle East 2015'!$K13-'Middle East 2015'!$G13-'Middle East 2015'!$H13=0,1,('Middle East 2015'!$L13-'Middle East 2015'!$J13-'Middle East 2015'!$K13-'Middle East 2015'!$G13-'Middle East 2015'!$H13))</f>
        <v>0</v>
      </c>
      <c r="G118" s="40">
        <f>'Middle East 2018'!$D13/IF('Middle East 2018'!$L13-'Middle East 2018'!$J13-'Middle East 2018'!$K13-'Middle East 2018'!$G13-'Middle East 2018'!$H13=0,1,('Middle East 2018'!$L13-'Middle East 2018'!$J13-'Middle East 2018'!$K13-'Middle East 2018'!$G13-'Middle East 2018'!$H13))</f>
        <v>0</v>
      </c>
      <c r="H118" s="77">
        <f t="shared" si="1"/>
        <v>0</v>
      </c>
      <c r="I118" s="77">
        <f t="shared" si="1"/>
        <v>0</v>
      </c>
    </row>
    <row r="119" spans="1:11" x14ac:dyDescent="0.35">
      <c r="A119" s="30" t="s">
        <v>241</v>
      </c>
      <c r="B119" s="40">
        <f>'Middle East 1995'!$E13/IF(('Middle East 1995'!$L13-'Middle East 1995'!$J13-'Middle East 1995'!$K13-'Middle East 1995'!$G13-'Middle East 1995'!$H13)=0,1,('Middle East 1995'!$L13-'Middle East 1995'!$J13-'Middle East 1995'!$K13-'Middle East 1995'!$G13-'Middle East 1995'!$H13))</f>
        <v>0</v>
      </c>
      <c r="C119" s="40">
        <f>'Middle East 2000'!$E13/IF(('Middle East 2000'!$L13-'Middle East 2000'!$J13-'Middle East 2000'!$K13-'Middle East 2000'!$G13-'Middle East 2000'!$H13)=0,1,('Middle East 2000'!$L13-'Middle East 2000'!$J13-'Middle East 2000'!$K13-'Middle East 2000'!$G13-'Middle East 2000'!$H13))</f>
        <v>0</v>
      </c>
      <c r="D119" s="40">
        <f>'Middle East 2005'!$E13/IF(('Middle East 2005'!$L13-'Middle East 2005'!$J13-'Middle East 2005'!$K13-'Middle East 2005'!$G13-'Middle East 2005'!$H13)=0,1,('Middle East 2005'!$L13-'Middle East 2005'!$J13-'Middle East 2005'!$K13-'Middle East 2005'!$G13-'Middle East 2005'!$H13))</f>
        <v>0</v>
      </c>
      <c r="E119" s="40">
        <f>'Middle East 2010'!$E13/IF(('Middle East 2010'!$L13-'Middle East 2010'!$J13-'Middle East 2010'!$K13-'Middle East 2010'!$G13-'Middle East 2010'!$H13)=0,1,('Middle East 2010'!$L13-'Middle East 2010'!$J13-'Middle East 2010'!$K13-'Middle East 2010'!$G13-'Middle East 2010'!$H13))</f>
        <v>0</v>
      </c>
      <c r="F119" s="40">
        <f>'Middle East 2015'!$E13/IF(('Middle East 2015'!$L13-'Middle East 2015'!$J13-'Middle East 2015'!$K13-'Middle East 2015'!$G13-'Middle East 2015'!$H13)=0,1,('Middle East 2015'!$L13-'Middle East 2015'!$J13-'Middle East 2015'!$K13-'Middle East 2015'!$G13-'Middle East 2015'!$H13))</f>
        <v>0</v>
      </c>
      <c r="G119" s="40">
        <f>'Middle East 2018'!$E13/IF(('Middle East 2018'!$L13-'Middle East 2018'!$J13-'Middle East 2018'!$K13-'Middle East 2018'!$G13-'Middle East 2018'!$H13)=0,1,('Middle East 2018'!$L13-'Middle East 2018'!$J13-'Middle East 2018'!$K13-'Middle East 2018'!$G13-'Middle East 2018'!$H13))</f>
        <v>0</v>
      </c>
      <c r="H119" s="77">
        <f t="shared" si="1"/>
        <v>0</v>
      </c>
      <c r="I119" s="77">
        <f t="shared" si="1"/>
        <v>0</v>
      </c>
    </row>
    <row r="120" spans="1:11" x14ac:dyDescent="0.35">
      <c r="A120" s="30" t="s">
        <v>180</v>
      </c>
      <c r="B120" s="40">
        <f>'Middle East 1995'!$F13/IF(('Middle East 1995'!$L13-'Middle East 1995'!$J13-'Middle East 1995'!$K13-'Middle East 1995'!$G13-'Middle East 1995'!$H13)=0,1,('Middle East 1995'!$L13-'Middle East 1995'!$J13-'Middle East 1995'!$K13-'Middle East 1995'!$G13-'Middle East 1995'!$H13))</f>
        <v>0</v>
      </c>
      <c r="C120" s="40">
        <f>'Middle East 2000'!$F13/IF(('Middle East 2000'!$L13-'Middle East 2000'!$J13-'Middle East 2000'!$K13-'Middle East 2000'!$G13-'Middle East 2000'!$H13)=0,1,('Middle East 2000'!$L13-'Middle East 2000'!$J13-'Middle East 2000'!$K13-'Middle East 2000'!$G13-'Middle East 2000'!$H13))</f>
        <v>0</v>
      </c>
      <c r="D120" s="40">
        <f>'Middle East 2005'!$F13/IF(('Middle East 2005'!$L13-'Middle East 2005'!$J13-'Middle East 2005'!$K13-'Middle East 2005'!$G13-'Middle East 2005'!$H13)=0,1,('Middle East 2005'!$L13-'Middle East 2005'!$J13-'Middle East 2005'!$K13-'Middle East 2005'!$G13-'Middle East 2005'!$H13))</f>
        <v>0</v>
      </c>
      <c r="E120" s="40">
        <f>'Middle East 2010'!$F13/IF(('Middle East 2010'!$L13-'Middle East 2010'!$J13-'Middle East 2010'!$K13-'Middle East 2010'!$G13-'Middle East 2010'!$H13)=0,1,('Middle East 2010'!$L13-'Middle East 2010'!$J13-'Middle East 2010'!$K13-'Middle East 2010'!$G13-'Middle East 2010'!$H13))</f>
        <v>0</v>
      </c>
      <c r="F120" s="40">
        <f>'Middle East 2015'!$F13/IF(('Middle East 2015'!$L13-'Middle East 2015'!$J13-'Middle East 2015'!$K13-'Middle East 2015'!$G13-'Middle East 2015'!$H13)=0,1,('Middle East 2015'!$L13-'Middle East 2015'!$J13-'Middle East 2015'!$K13-'Middle East 2015'!$G13-'Middle East 2015'!$H13))</f>
        <v>0</v>
      </c>
      <c r="G120" s="40">
        <f>'Middle East 2018'!$F13/IF(('Middle East 2018'!$L13-'Middle East 2018'!$J13-'Middle East 2018'!$K13-'Middle East 2018'!$G13-'Middle East 2018'!$H13)=0,1,('Middle East 2018'!$L13-'Middle East 2018'!$J13-'Middle East 2018'!$K13-'Middle East 2018'!$G13-'Middle East 2018'!$H13))</f>
        <v>0</v>
      </c>
      <c r="H120" s="77">
        <f t="shared" si="1"/>
        <v>0</v>
      </c>
      <c r="I120" s="77">
        <f t="shared" si="1"/>
        <v>0</v>
      </c>
    </row>
    <row r="121" spans="1:11" x14ac:dyDescent="0.35">
      <c r="A121" s="30" t="s">
        <v>146</v>
      </c>
      <c r="B121" s="40">
        <f>'Middle East 1995'!$I13/IF(('Middle East 1995'!$L13-'Middle East 1995'!$J13-'Middle East 1995'!$K13-'Middle East 1995'!$G13-'Middle East 1995'!$H13)=0,1,('Middle East 1995'!$L13-'Middle East 1995'!$J13-'Middle East 1995'!$K13-'Middle East 1995'!$G13-'Middle East 1995'!$H13))</f>
        <v>0</v>
      </c>
      <c r="C121" s="40">
        <f>'Middle East 2000'!$I13/IF(('Middle East 2000'!$L13-'Middle East 2000'!$J13-'Middle East 2000'!$K13-'Middle East 2000'!$G13-'Middle East 2000'!$H13)=0,1,('Middle East 2000'!$L13-'Middle East 2000'!$J13-'Middle East 2000'!$K13-'Middle East 2000'!$G13-'Middle East 2000'!$H13))</f>
        <v>0</v>
      </c>
      <c r="D121" s="40">
        <f>'Middle East 2005'!$I13/IF(('Middle East 2005'!$L13-'Middle East 2005'!$J13-'Middle East 2005'!$K13-'Middle East 2005'!$G13-'Middle East 2005'!$H13)=0,1,('Middle East 2005'!$L13-'Middle East 2005'!$J13-'Middle East 2005'!$K13-'Middle East 2005'!$G13-'Middle East 2005'!$H13))</f>
        <v>0</v>
      </c>
      <c r="E121" s="40">
        <f>'Middle East 2010'!$I13/IF(('Middle East 2010'!$L13-'Middle East 2010'!$J13-'Middle East 2010'!$K13-'Middle East 2010'!$G13-'Middle East 2010'!$H13)=0,1,('Middle East 2010'!$L13-'Middle East 2010'!$J13-'Middle East 2010'!$K13-'Middle East 2010'!$G13-'Middle East 2010'!$H13))</f>
        <v>0</v>
      </c>
      <c r="F121" s="40">
        <f>'Middle East 2015'!$I13/IF(('Middle East 2015'!$L13-'Middle East 2015'!$J13-'Middle East 2015'!$K13-'Middle East 2015'!$G13-'Middle East 2015'!$H13)=0,1,('Middle East 2015'!$L13-'Middle East 2015'!$J13-'Middle East 2015'!$K13-'Middle East 2015'!$G13-'Middle East 2015'!$H13))</f>
        <v>0</v>
      </c>
      <c r="G121" s="40">
        <f>'Middle East 2018'!$I13/IF(('Middle East 2018'!$L13-'Middle East 2018'!$J13-'Middle East 2018'!$K13-'Middle East 2018'!$G13-'Middle East 2018'!$H13)=0,1,('Middle East 2018'!$L13-'Middle East 2018'!$J13-'Middle East 2018'!$K13-'Middle East 2018'!$G13-'Middle East 2018'!$H13))</f>
        <v>0</v>
      </c>
      <c r="H121" s="77">
        <f t="shared" si="1"/>
        <v>0</v>
      </c>
      <c r="I121" s="77">
        <f t="shared" si="1"/>
        <v>0</v>
      </c>
    </row>
    <row r="122" spans="1:11" x14ac:dyDescent="0.35">
      <c r="A122" s="32" t="s">
        <v>182</v>
      </c>
      <c r="B122" s="82"/>
      <c r="C122" s="82"/>
      <c r="D122" s="82"/>
      <c r="E122" s="82"/>
      <c r="F122" s="82"/>
      <c r="G122" s="82"/>
      <c r="H122" s="42"/>
      <c r="I122" s="42"/>
    </row>
    <row r="123" spans="1:11" x14ac:dyDescent="0.35">
      <c r="A123" s="30" t="s">
        <v>141</v>
      </c>
      <c r="B123" s="40">
        <f>'Middle East 1995'!$B14/IF(('Middle East 1995'!$L14-'Middle East 1995'!$J14-'Middle East 1995'!$K14-'Middle East 1995'!$G14-'Middle East 1995'!$H14)=0,1,('Middle East 1995'!$L14-'Middle East 1995'!$J14-'Middle East 1995'!$K14-'Middle East 1995'!$G14-'Middle East 1995'!$H14))</f>
        <v>0</v>
      </c>
      <c r="C123" s="40">
        <f>'Middle East 2000'!$B14/IF(('Middle East 2000'!$L14-'Middle East 2000'!$J14-'Middle East 2000'!$K14-'Middle East 2000'!$G14-'Middle East 2000'!$H14)=0,1,('Middle East 2000'!$L14-'Middle East 2000'!$J14-'Middle East 2000'!$K14-'Middle East 2000'!$G14-'Middle East 2000'!$H14))</f>
        <v>0</v>
      </c>
      <c r="D123" s="40">
        <f>'Middle East 2005'!$B14/IF(('Middle East 2005'!$L14-'Middle East 2005'!$J14-'Middle East 2005'!$K14-'Middle East 2005'!$G14-'Middle East 2005'!$H14)=0,1,('Middle East 2005'!$L14-'Middle East 2005'!$J14-'Middle East 2005'!$K14-'Middle East 2005'!$G14-'Middle East 2005'!$H14))</f>
        <v>0</v>
      </c>
      <c r="E123" s="40">
        <f>'Middle East 2010'!$B14/IF(('Middle East 2010'!$L14-'Middle East 2010'!$J14-'Middle East 2010'!$K14-'Middle East 2010'!$G14-'Middle East 2010'!$H14)=0,1,('Middle East 2010'!$L14-'Middle East 2010'!$J14-'Middle East 2010'!$K14-'Middle East 2010'!$G14-'Middle East 2010'!$H14))</f>
        <v>0</v>
      </c>
      <c r="F123" s="40">
        <f>'Middle East 2015'!$B14/IF(('Middle East 2015'!$L14-'Middle East 2015'!$J14-'Middle East 2015'!$K14-'Middle East 2015'!$G14-'Middle East 2015'!$H14)=0,1,('Middle East 2015'!$L14-'Middle East 2015'!$J14-'Middle East 2015'!$K14-'Middle East 2015'!$G14-'Middle East 2015'!$H14))</f>
        <v>0</v>
      </c>
      <c r="G123" s="40">
        <f>'Middle East 2018'!$B14/IF(('Middle East 2018'!$L14-'Middle East 2018'!$J14-'Middle East 2018'!$K14-'Middle East 2018'!$G14-'Middle East 2018'!$H14)=0,1,('Middle East 2018'!$L14-'Middle East 2018'!$J14-'Middle East 2018'!$K14-'Middle East 2018'!$G14-'Middle East 2018'!$H14))</f>
        <v>0</v>
      </c>
      <c r="H123" s="77">
        <f t="shared" si="1"/>
        <v>0</v>
      </c>
      <c r="I123" s="77">
        <f t="shared" si="1"/>
        <v>0</v>
      </c>
    </row>
    <row r="124" spans="1:11" x14ac:dyDescent="0.35">
      <c r="A124" s="30" t="s">
        <v>142</v>
      </c>
      <c r="B124" s="40">
        <f>'Middle East 1995'!$C14/IF(('Middle East 1995'!$L14-'Middle East 1995'!$J14-'Middle East 1995'!$K14-'Middle East 1995'!$G14-'Middle East 1995'!$H14)=0,1,('Middle East 1995'!$L14-'Middle East 1995'!$J14-'Middle East 1995'!$K14-'Middle East 1995'!$G14-'Middle East 1995'!$H14))</f>
        <v>0</v>
      </c>
      <c r="C124" s="40">
        <f>'Middle East 2000'!$C14/IF(('Middle East 2000'!$L14-'Middle East 2000'!$J14-'Middle East 2000'!$K14-'Middle East 2000'!$G14-'Middle East 2000'!$H14)=0,1,('Middle East 2000'!$L14-'Middle East 2000'!$J14-'Middle East 2000'!$K14-'Middle East 2000'!$G14-'Middle East 2000'!$H14))</f>
        <v>0</v>
      </c>
      <c r="D124" s="40">
        <f>'Middle East 2005'!$C14/IF(('Middle East 2005'!$L14-'Middle East 2005'!$J14-'Middle East 2005'!$K14-'Middle East 2005'!$G14-'Middle East 2005'!$H14)=0,1,('Middle East 2005'!$L14-'Middle East 2005'!$J14-'Middle East 2005'!$K14-'Middle East 2005'!$G14-'Middle East 2005'!$H14))</f>
        <v>0</v>
      </c>
      <c r="E124" s="40">
        <f>'Middle East 2010'!$C14/IF(('Middle East 2010'!$L14-'Middle East 2010'!$J14-'Middle East 2010'!$K14-'Middle East 2010'!$G14-'Middle East 2010'!$H14)=0,1,('Middle East 2010'!$L14-'Middle East 2010'!$J14-'Middle East 2010'!$K14-'Middle East 2010'!$G14-'Middle East 2010'!$H14))</f>
        <v>0</v>
      </c>
      <c r="F124" s="40">
        <f>'Middle East 2015'!$C14/IF(('Middle East 2015'!$L14-'Middle East 2015'!$J14-'Middle East 2015'!$K14-'Middle East 2015'!$G14-'Middle East 2015'!$H14)=0,1,('Middle East 2015'!$L14-'Middle East 2015'!$J14-'Middle East 2015'!$K14-'Middle East 2015'!$G14-'Middle East 2015'!$H14))</f>
        <v>0</v>
      </c>
      <c r="G124" s="40">
        <f>'Middle East 2018'!$C14/IF(('Middle East 2018'!$L14-'Middle East 2018'!$J14-'Middle East 2018'!$K14-'Middle East 2018'!$G14-'Middle East 2018'!$H14)=0,1,('Middle East 2018'!$L14-'Middle East 2018'!$J14-'Middle East 2018'!$K14-'Middle East 2018'!$G14-'Middle East 2018'!$H14))</f>
        <v>0</v>
      </c>
      <c r="H124" s="77">
        <f t="shared" si="1"/>
        <v>0</v>
      </c>
      <c r="I124" s="77">
        <f t="shared" si="1"/>
        <v>0</v>
      </c>
    </row>
    <row r="125" spans="1:11" x14ac:dyDescent="0.35">
      <c r="A125" s="30" t="s">
        <v>143</v>
      </c>
      <c r="B125" s="40">
        <f>'Middle East 1995'!$D14/IF(('Middle East 1995'!$L14-'Middle East 1995'!$J14-'Middle East 1995'!$K14-'Middle East 1995'!$G14-'Middle East 1995'!$H14)=0,1,('Middle East 1995'!$L14-'Middle East 1995'!$J14-'Middle East 1995'!$K14-'Middle East 1995'!$G14-'Middle East 1995'!$H14))</f>
        <v>0</v>
      </c>
      <c r="C125" s="40">
        <f>'Middle East 2000'!$D14/IF(('Middle East 2000'!$L14-'Middle East 2000'!$J14-'Middle East 2000'!$K14-'Middle East 2000'!$G14-'Middle East 2000'!$H14)=0,1,('Middle East 2000'!$L14-'Middle East 2000'!$J14-'Middle East 2000'!$K14-'Middle East 2000'!$G14-'Middle East 2000'!$H14))</f>
        <v>0</v>
      </c>
      <c r="D125" s="40">
        <f>'Middle East 2005'!$D14/IF(('Middle East 2005'!$L14-'Middle East 2005'!$J14-'Middle East 2005'!$K14-'Middle East 2005'!$G14-'Middle East 2005'!$H14)=0,1,('Middle East 2005'!$L14-'Middle East 2005'!$J14-'Middle East 2005'!$K14-'Middle East 2005'!$G14-'Middle East 2005'!$H14))</f>
        <v>0</v>
      </c>
      <c r="E125" s="40">
        <f>'Middle East 2010'!$D14/IF(('Middle East 2010'!$L14-'Middle East 2010'!$J14-'Middle East 2010'!$K14-'Middle East 2010'!$G14-'Middle East 2010'!$H14)=0,1,('Middle East 2010'!$L14-'Middle East 2010'!$J14-'Middle East 2010'!$K14-'Middle East 2010'!$G14-'Middle East 2010'!$H14))</f>
        <v>0</v>
      </c>
      <c r="F125" s="40">
        <f>'Middle East 2015'!$D14/IF(('Middle East 2015'!$L14-'Middle East 2015'!$J14-'Middle East 2015'!$K14-'Middle East 2015'!$G14-'Middle East 2015'!$H14)=0,1,('Middle East 2015'!$L14-'Middle East 2015'!$J14-'Middle East 2015'!$K14-'Middle East 2015'!$G14-'Middle East 2015'!$H14))</f>
        <v>0</v>
      </c>
      <c r="G125" s="40">
        <f>'Middle East 2018'!$D14/IF(('Middle East 2018'!$L14-'Middle East 2018'!$J14-'Middle East 2018'!$K14-'Middle East 2018'!$G14-'Middle East 2018'!$H14)=0,1,('Middle East 2018'!$L14-'Middle East 2018'!$J14-'Middle East 2018'!$K14-'Middle East 2018'!$G14-'Middle East 2018'!$H14))</f>
        <v>0</v>
      </c>
      <c r="H125" s="77">
        <f t="shared" si="1"/>
        <v>0</v>
      </c>
      <c r="I125" s="77">
        <f t="shared" si="1"/>
        <v>0</v>
      </c>
    </row>
    <row r="126" spans="1:11" x14ac:dyDescent="0.35">
      <c r="A126" s="30" t="s">
        <v>241</v>
      </c>
      <c r="B126" s="40">
        <f>'Middle East 1995'!$E14/IF(('Middle East 1995'!$L14-'Middle East 1995'!$J14-'Middle East 1995'!$K14-'Middle East 1995'!$G14-'Middle East 1995'!$H14)=0,1,('Middle East 1995'!$L14-'Middle East 1995'!$J14-'Middle East 1995'!$K14-'Middle East 1995'!$G14-'Middle East 1995'!$H14))</f>
        <v>0</v>
      </c>
      <c r="C126" s="40">
        <f>'Middle East 2000'!$E14/IF(('Middle East 2000'!$L14-'Middle East 2000'!$J14-'Middle East 2000'!$K14-'Middle East 2000'!$G14-'Middle East 2000'!$H14)=0,1,('Middle East 2000'!$L14-'Middle East 2000'!$J14-'Middle East 2000'!$K14-'Middle East 2000'!$G14-'Middle East 2000'!$H14))</f>
        <v>0</v>
      </c>
      <c r="D126" s="40">
        <f>'Middle East 2005'!$E14/IF(('Middle East 2005'!$L14-'Middle East 2005'!$J14-'Middle East 2005'!$K14-'Middle East 2005'!$G14-'Middle East 2005'!$H14)=0,1,('Middle East 2005'!$L14-'Middle East 2005'!$J14-'Middle East 2005'!$K14-'Middle East 2005'!$G14-'Middle East 2005'!$H14))</f>
        <v>0</v>
      </c>
      <c r="E126" s="40">
        <f>'Middle East 2010'!$E14/IF(('Middle East 2010'!$L14-'Middle East 2010'!$J14-'Middle East 2010'!$K14-'Middle East 2010'!$G14-'Middle East 2010'!$H14)=0,1,('Middle East 2010'!$L14-'Middle East 2010'!$J14-'Middle East 2010'!$K14-'Middle East 2010'!$G14-'Middle East 2010'!$H14))</f>
        <v>0</v>
      </c>
      <c r="F126" s="40">
        <f>'Middle East 2015'!$E14/IF(('Middle East 2015'!$L14-'Middle East 2015'!$J14-'Middle East 2015'!$K14-'Middle East 2015'!$G14-'Middle East 2015'!$H14)=0,1,('Middle East 2015'!$L14-'Middle East 2015'!$J14-'Middle East 2015'!$K14-'Middle East 2015'!$G14-'Middle East 2015'!$H14))</f>
        <v>0</v>
      </c>
      <c r="G126" s="40">
        <f>'Middle East 2018'!$E14/IF(('Middle East 2018'!$L14-'Middle East 2018'!$J14-'Middle East 2018'!$K14-'Middle East 2018'!$G14-'Middle East 2018'!$H14)=0,1,('Middle East 2018'!$L14-'Middle East 2018'!$J14-'Middle East 2018'!$K14-'Middle East 2018'!$G14-'Middle East 2018'!$H14))</f>
        <v>0</v>
      </c>
      <c r="H126" s="89">
        <f>1-H123-H124-H125-H127-H128</f>
        <v>1</v>
      </c>
      <c r="I126" s="89">
        <f>1-I123-I124-I125-I127-I128</f>
        <v>1</v>
      </c>
    </row>
    <row r="127" spans="1:11" x14ac:dyDescent="0.35">
      <c r="A127" s="30" t="s">
        <v>180</v>
      </c>
      <c r="B127" s="40">
        <f>'Middle East 1995'!$F14/IF(('Middle East 1995'!$L14-'Middle East 1995'!$J14-'Middle East 1995'!$K14-'Middle East 1995'!$G14-'Middle East 1995'!$H14)=0,1,('Middle East 1995'!$L14-'Middle East 1995'!$J14-'Middle East 1995'!$K14-'Middle East 1995'!$G14-'Middle East 1995'!$H14))</f>
        <v>0</v>
      </c>
      <c r="C127" s="40">
        <f>'Middle East 2000'!$F14/IF(('Middle East 2000'!$L14-'Middle East 2000'!$J14-'Middle East 2000'!$K14-'Middle East 2000'!$G14-'Middle East 2000'!$H14)=0,1,('Middle East 2000'!$L14-'Middle East 2000'!$J14-'Middle East 2000'!$K14-'Middle East 2000'!$G14-'Middle East 2000'!$H14))</f>
        <v>0</v>
      </c>
      <c r="D127" s="40">
        <f>'Middle East 2005'!$F14/IF(('Middle East 2005'!$L14-'Middle East 2005'!$J14-'Middle East 2005'!$K14-'Middle East 2005'!$G14-'Middle East 2005'!$H14)=0,1,('Middle East 2005'!$L14-'Middle East 2005'!$J14-'Middle East 2005'!$K14-'Middle East 2005'!$G14-'Middle East 2005'!$H14))</f>
        <v>0</v>
      </c>
      <c r="E127" s="40">
        <f>'Middle East 2010'!$F14/IF(('Middle East 2010'!$L14-'Middle East 2010'!$J14-'Middle East 2010'!$K14-'Middle East 2010'!$G14-'Middle East 2010'!$H14)=0,1,('Middle East 2010'!$L14-'Middle East 2010'!$J14-'Middle East 2010'!$K14-'Middle East 2010'!$G14-'Middle East 2010'!$H14))</f>
        <v>0</v>
      </c>
      <c r="F127" s="40">
        <f>'Middle East 2015'!$F14/IF(('Middle East 2015'!$L14-'Middle East 2015'!$J14-'Middle East 2015'!$K14-'Middle East 2015'!$G14-'Middle East 2015'!$H14)=0,1,('Middle East 2015'!$L14-'Middle East 2015'!$J14-'Middle East 2015'!$K14-'Middle East 2015'!$G14-'Middle East 2015'!$H14))</f>
        <v>0</v>
      </c>
      <c r="G127" s="40">
        <f>'Middle East 2018'!$F14/IF(('Middle East 2018'!$L14-'Middle East 2018'!$J14-'Middle East 2018'!$K14-'Middle East 2018'!$G14-'Middle East 2018'!$H14)=0,1,('Middle East 2018'!$L14-'Middle East 2018'!$J14-'Middle East 2018'!$K14-'Middle East 2018'!$G14-'Middle East 2018'!$H14))</f>
        <v>0</v>
      </c>
      <c r="H127" s="77">
        <f t="shared" si="1"/>
        <v>0</v>
      </c>
      <c r="I127" s="77">
        <f t="shared" si="1"/>
        <v>0</v>
      </c>
      <c r="K127" s="7"/>
    </row>
    <row r="128" spans="1:11" x14ac:dyDescent="0.35">
      <c r="A128" s="30" t="s">
        <v>146</v>
      </c>
      <c r="B128" s="40">
        <f>'Middle East 1995'!$I14/IF(('Middle East 1995'!$L14-'Middle East 1995'!$J14-'Middle East 1995'!$K14-'Middle East 1995'!$G14-'Middle East 1995'!$H14)=0,1,('Middle East 1995'!$L14-'Middle East 1995'!$J14-'Middle East 1995'!$K14-'Middle East 1995'!$G14-'Middle East 1995'!$H14))</f>
        <v>0</v>
      </c>
      <c r="C128" s="40">
        <f>'Middle East 2000'!$I14/IF(('Middle East 2000'!$L14-'Middle East 2000'!$J14-'Middle East 2000'!$K14-'Middle East 2000'!$G14-'Middle East 2000'!$H14)=0,1,('Middle East 2000'!$L14-'Middle East 2000'!$J14-'Middle East 2000'!$K14-'Middle East 2000'!$G14-'Middle East 2000'!$H14))</f>
        <v>0</v>
      </c>
      <c r="D128" s="40">
        <f>'Middle East 2005'!$I14/IF(('Middle East 2005'!$L14-'Middle East 2005'!$J14-'Middle East 2005'!$K14-'Middle East 2005'!$G14-'Middle East 2005'!$H14)=0,1,('Middle East 2005'!$L14-'Middle East 2005'!$J14-'Middle East 2005'!$K14-'Middle East 2005'!$G14-'Middle East 2005'!$H14))</f>
        <v>0</v>
      </c>
      <c r="E128" s="40">
        <f>'Middle East 2010'!$I14/IF(('Middle East 2010'!$L14-'Middle East 2010'!$J14-'Middle East 2010'!$K14-'Middle East 2010'!$G14-'Middle East 2010'!$H14)=0,1,('Middle East 2010'!$L14-'Middle East 2010'!$J14-'Middle East 2010'!$K14-'Middle East 2010'!$G14-'Middle East 2010'!$H14))</f>
        <v>0</v>
      </c>
      <c r="F128" s="40">
        <f>'Middle East 2015'!$I14/IF(('Middle East 2015'!$L14-'Middle East 2015'!$J14-'Middle East 2015'!$K14-'Middle East 2015'!$G14-'Middle East 2015'!$H14)=0,1,('Middle East 2015'!$L14-'Middle East 2015'!$J14-'Middle East 2015'!$K14-'Middle East 2015'!$G14-'Middle East 2015'!$H14))</f>
        <v>0</v>
      </c>
      <c r="G128" s="40">
        <f>'Middle East 2018'!$I14/IF(('Middle East 2018'!$L14-'Middle East 2018'!$J14-'Middle East 2018'!$K14-'Middle East 2018'!$G14-'Middle East 2018'!$H14)=0,1,('Middle East 2018'!$L14-'Middle East 2018'!$J14-'Middle East 2018'!$K14-'Middle East 2018'!$G14-'Middle East 2018'!$H14))</f>
        <v>0</v>
      </c>
      <c r="H128" s="77">
        <f t="shared" si="1"/>
        <v>0</v>
      </c>
      <c r="I128" s="77">
        <f t="shared" si="1"/>
        <v>0</v>
      </c>
    </row>
    <row r="129" spans="1:9" x14ac:dyDescent="0.35">
      <c r="A129" s="32" t="s">
        <v>183</v>
      </c>
      <c r="B129" s="82"/>
      <c r="C129" s="82"/>
      <c r="D129" s="82"/>
      <c r="E129" s="82"/>
      <c r="F129" s="82"/>
      <c r="G129" s="82"/>
      <c r="H129" s="42"/>
      <c r="I129" s="42"/>
    </row>
    <row r="130" spans="1:9" x14ac:dyDescent="0.35">
      <c r="A130" s="30" t="s">
        <v>142</v>
      </c>
      <c r="B130" s="40">
        <v>1</v>
      </c>
      <c r="C130" s="40">
        <v>1</v>
      </c>
      <c r="D130" s="40">
        <v>1</v>
      </c>
      <c r="E130" s="40">
        <v>1</v>
      </c>
      <c r="F130" s="40">
        <v>1</v>
      </c>
      <c r="G130" s="40">
        <v>1</v>
      </c>
      <c r="H130" s="89">
        <f>1-H131</f>
        <v>1</v>
      </c>
      <c r="I130" s="89">
        <f>1-I131</f>
        <v>1</v>
      </c>
    </row>
    <row r="131" spans="1:9" x14ac:dyDescent="0.35">
      <c r="A131" s="30" t="s">
        <v>146</v>
      </c>
      <c r="B131" s="40">
        <v>0</v>
      </c>
      <c r="C131" s="40">
        <v>0</v>
      </c>
      <c r="D131" s="40">
        <v>0</v>
      </c>
      <c r="E131" s="40">
        <v>0</v>
      </c>
      <c r="F131" s="40">
        <v>0</v>
      </c>
      <c r="G131" s="40">
        <v>0</v>
      </c>
      <c r="H131" s="77">
        <f t="shared" si="1"/>
        <v>0</v>
      </c>
      <c r="I131" s="77">
        <f t="shared" si="1"/>
        <v>0</v>
      </c>
    </row>
    <row r="132" spans="1:9" x14ac:dyDescent="0.35">
      <c r="A132" s="30"/>
      <c r="B132" s="40">
        <v>0</v>
      </c>
      <c r="C132" s="40">
        <v>0</v>
      </c>
      <c r="D132" s="40">
        <v>0</v>
      </c>
      <c r="E132" s="40">
        <v>0</v>
      </c>
      <c r="F132" s="40">
        <v>0</v>
      </c>
      <c r="G132" s="40">
        <v>0</v>
      </c>
      <c r="H132" s="77">
        <f t="shared" si="1"/>
        <v>0</v>
      </c>
      <c r="I132" s="77">
        <f t="shared" si="1"/>
        <v>0</v>
      </c>
    </row>
    <row r="133" spans="1:9" x14ac:dyDescent="0.35">
      <c r="A133" s="32" t="s">
        <v>184</v>
      </c>
      <c r="B133" s="42"/>
      <c r="C133" s="42"/>
      <c r="D133" s="42"/>
      <c r="E133" s="42"/>
      <c r="F133" s="42"/>
      <c r="G133" s="42"/>
      <c r="H133" s="42"/>
      <c r="I133" s="42"/>
    </row>
    <row r="134" spans="1:9" x14ac:dyDescent="0.35">
      <c r="A134" s="30" t="s">
        <v>185</v>
      </c>
      <c r="H134" s="77">
        <v>0</v>
      </c>
      <c r="I134" s="77">
        <v>0</v>
      </c>
    </row>
    <row r="135" spans="1:9" x14ac:dyDescent="0.35">
      <c r="A135" s="30" t="s">
        <v>186</v>
      </c>
      <c r="H135" s="77">
        <v>0</v>
      </c>
      <c r="I135" s="77">
        <v>0</v>
      </c>
    </row>
    <row r="136" spans="1:9" x14ac:dyDescent="0.35">
      <c r="A136" s="30" t="s">
        <v>245</v>
      </c>
      <c r="H136" s="77">
        <v>0</v>
      </c>
      <c r="I136" s="77">
        <v>0</v>
      </c>
    </row>
    <row r="137" spans="1:9" x14ac:dyDescent="0.35">
      <c r="A137" s="30" t="s">
        <v>188</v>
      </c>
      <c r="H137" s="77">
        <v>0</v>
      </c>
      <c r="I137" s="77">
        <v>0</v>
      </c>
    </row>
    <row r="138" spans="1:9" x14ac:dyDescent="0.35">
      <c r="A138" s="32" t="s">
        <v>189</v>
      </c>
      <c r="B138" s="42"/>
      <c r="C138" s="42"/>
      <c r="D138" s="42"/>
      <c r="E138" s="42"/>
      <c r="F138" s="42"/>
      <c r="G138" s="42"/>
      <c r="H138" s="42"/>
      <c r="I138" s="42"/>
    </row>
    <row r="139" spans="1:9" x14ac:dyDescent="0.35">
      <c r="A139" s="30" t="s">
        <v>190</v>
      </c>
      <c r="G139" s="94">
        <v>0.8</v>
      </c>
      <c r="H139" s="93">
        <f>G139</f>
        <v>0.8</v>
      </c>
      <c r="I139" s="77">
        <f t="shared" ref="I139:I142" si="5">H139</f>
        <v>0.8</v>
      </c>
    </row>
    <row r="140" spans="1:9" x14ac:dyDescent="0.35">
      <c r="A140" s="30" t="s">
        <v>191</v>
      </c>
      <c r="G140" s="94">
        <v>0.3</v>
      </c>
      <c r="H140" s="93">
        <f t="shared" ref="H140:H142" si="6">G140</f>
        <v>0.3</v>
      </c>
      <c r="I140" s="77">
        <f t="shared" si="5"/>
        <v>0.3</v>
      </c>
    </row>
    <row r="141" spans="1:9" x14ac:dyDescent="0.35">
      <c r="A141" s="30" t="s">
        <v>192</v>
      </c>
      <c r="G141" s="94">
        <v>0.95</v>
      </c>
      <c r="H141" s="93">
        <f t="shared" si="6"/>
        <v>0.95</v>
      </c>
      <c r="I141" s="77">
        <f t="shared" si="5"/>
        <v>0.95</v>
      </c>
    </row>
    <row r="142" spans="1:9" x14ac:dyDescent="0.35">
      <c r="A142" s="30" t="s">
        <v>193</v>
      </c>
      <c r="G142" s="94">
        <v>1</v>
      </c>
      <c r="H142" s="93">
        <f t="shared" si="6"/>
        <v>1</v>
      </c>
      <c r="I142" s="77">
        <f t="shared" si="5"/>
        <v>1</v>
      </c>
    </row>
  </sheetData>
  <mergeCells count="1">
    <mergeCell ref="B3:I3"/>
  </mergeCells>
  <pageMargins left="0.7" right="0.7" top="0.75" bottom="0.75" header="0.3" footer="0.3"/>
  <pageSetup paperSize="9" orientation="portrait" horizontalDpi="4294967293" verticalDpi="4294967293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Ark1"/>
  <dimension ref="A1:L32"/>
  <sheetViews>
    <sheetView workbookViewId="0">
      <selection activeCell="A3" sqref="A3:L30"/>
    </sheetView>
  </sheetViews>
  <sheetFormatPr defaultRowHeight="14.5" x14ac:dyDescent="0.35"/>
  <cols>
    <col min="1" max="1" width="30" customWidth="1"/>
    <col min="2" max="2" width="11.54296875" customWidth="1"/>
    <col min="3" max="3" width="12" customWidth="1"/>
    <col min="4" max="4" width="14.54296875" customWidth="1"/>
    <col min="5" max="5" width="14.1796875" customWidth="1"/>
    <col min="8" max="8" width="22.81640625" customWidth="1"/>
    <col min="9" max="9" width="21.81640625" customWidth="1"/>
    <col min="10" max="10" width="13.81640625" customWidth="1"/>
    <col min="11" max="11" width="12.26953125" customWidth="1"/>
    <col min="12" max="12" width="11.81640625" customWidth="1"/>
  </cols>
  <sheetData>
    <row r="1" spans="1:12" x14ac:dyDescent="0.35">
      <c r="B1" t="s">
        <v>214</v>
      </c>
      <c r="C1" t="s">
        <v>2</v>
      </c>
      <c r="D1" t="s">
        <v>215</v>
      </c>
      <c r="E1" t="s">
        <v>216</v>
      </c>
      <c r="F1" t="s">
        <v>5</v>
      </c>
      <c r="G1" t="s">
        <v>6</v>
      </c>
      <c r="H1" t="s">
        <v>217</v>
      </c>
      <c r="I1" t="s">
        <v>8</v>
      </c>
      <c r="J1" t="s">
        <v>9</v>
      </c>
      <c r="K1" t="s">
        <v>10</v>
      </c>
      <c r="L1" t="s">
        <v>218</v>
      </c>
    </row>
    <row r="2" spans="1:12" x14ac:dyDescent="0.35">
      <c r="B2" t="s">
        <v>219</v>
      </c>
      <c r="C2" t="s">
        <v>219</v>
      </c>
      <c r="D2" t="s">
        <v>219</v>
      </c>
      <c r="E2" t="s">
        <v>219</v>
      </c>
      <c r="F2" t="s">
        <v>219</v>
      </c>
      <c r="G2" t="s">
        <v>219</v>
      </c>
      <c r="H2" t="s">
        <v>219</v>
      </c>
      <c r="I2" t="s">
        <v>219</v>
      </c>
      <c r="J2" t="s">
        <v>219</v>
      </c>
      <c r="K2" t="s">
        <v>219</v>
      </c>
      <c r="L2" t="s">
        <v>219</v>
      </c>
    </row>
    <row r="3" spans="1:12" x14ac:dyDescent="0.35">
      <c r="A3" t="s">
        <v>17</v>
      </c>
      <c r="B3" s="7">
        <v>720</v>
      </c>
      <c r="C3" s="7">
        <v>1019284</v>
      </c>
      <c r="D3" s="7"/>
      <c r="E3" s="7">
        <v>115955</v>
      </c>
      <c r="F3" s="7"/>
      <c r="G3" s="7">
        <v>950</v>
      </c>
      <c r="H3" s="7">
        <v>59</v>
      </c>
      <c r="I3" s="7">
        <v>495</v>
      </c>
      <c r="J3" s="7"/>
      <c r="K3" s="7"/>
      <c r="L3" s="7">
        <v>1137466</v>
      </c>
    </row>
    <row r="4" spans="1:12" x14ac:dyDescent="0.35">
      <c r="A4" t="s">
        <v>220</v>
      </c>
      <c r="B4" s="7">
        <v>439</v>
      </c>
      <c r="C4" s="7">
        <v>7476</v>
      </c>
      <c r="D4" s="7">
        <v>23320</v>
      </c>
      <c r="E4" s="7">
        <v>408</v>
      </c>
      <c r="F4" s="7"/>
      <c r="G4" s="7"/>
      <c r="H4" s="7"/>
      <c r="I4" s="7">
        <v>42</v>
      </c>
      <c r="J4" s="7">
        <v>25</v>
      </c>
      <c r="K4" s="7"/>
      <c r="L4" s="7">
        <v>31712</v>
      </c>
    </row>
    <row r="5" spans="1:12" x14ac:dyDescent="0.35">
      <c r="A5" t="s">
        <v>221</v>
      </c>
      <c r="B5" s="7">
        <v>-7</v>
      </c>
      <c r="C5" s="7">
        <v>-698619</v>
      </c>
      <c r="D5" s="7">
        <v>-134869</v>
      </c>
      <c r="E5" s="7">
        <v>-6299</v>
      </c>
      <c r="F5" s="7"/>
      <c r="G5" s="7"/>
      <c r="H5" s="7"/>
      <c r="I5" s="7"/>
      <c r="J5" s="7">
        <v>-13</v>
      </c>
      <c r="K5" s="7"/>
      <c r="L5" s="7">
        <v>-839807</v>
      </c>
    </row>
    <row r="6" spans="1:12" x14ac:dyDescent="0.35">
      <c r="A6" t="s">
        <v>222</v>
      </c>
      <c r="B6" s="7"/>
      <c r="C6" s="7"/>
      <c r="D6" s="7">
        <v>-14748</v>
      </c>
      <c r="E6" s="7"/>
      <c r="F6" s="7"/>
      <c r="G6" s="7"/>
      <c r="H6" s="7"/>
      <c r="I6" s="7"/>
      <c r="J6" s="7"/>
      <c r="K6" s="7"/>
      <c r="L6" s="7">
        <v>-14748</v>
      </c>
    </row>
    <row r="7" spans="1:12" x14ac:dyDescent="0.35">
      <c r="A7" t="s">
        <v>223</v>
      </c>
      <c r="B7" s="7"/>
      <c r="C7" s="7"/>
      <c r="D7" s="7">
        <v>-8259</v>
      </c>
      <c r="E7" s="7"/>
      <c r="F7" s="7"/>
      <c r="G7" s="7"/>
      <c r="H7" s="7"/>
      <c r="I7" s="7"/>
      <c r="J7" s="7"/>
      <c r="K7" s="7"/>
      <c r="L7" s="7">
        <v>-8259</v>
      </c>
    </row>
    <row r="8" spans="1:12" x14ac:dyDescent="0.35">
      <c r="A8" t="s">
        <v>224</v>
      </c>
      <c r="B8" s="7"/>
      <c r="C8" s="7">
        <v>171</v>
      </c>
      <c r="D8" s="7">
        <v>12</v>
      </c>
      <c r="E8" s="7"/>
      <c r="F8" s="7"/>
      <c r="G8" s="7"/>
      <c r="H8" s="7"/>
      <c r="I8" s="7"/>
      <c r="J8" s="7"/>
      <c r="K8" s="7"/>
      <c r="L8" s="7">
        <v>183</v>
      </c>
    </row>
    <row r="9" spans="1:12" x14ac:dyDescent="0.35">
      <c r="A9" t="s">
        <v>225</v>
      </c>
      <c r="B9" s="7">
        <v>1152</v>
      </c>
      <c r="C9" s="7">
        <v>328313</v>
      </c>
      <c r="D9" s="7">
        <v>-134542</v>
      </c>
      <c r="E9" s="7">
        <v>110065</v>
      </c>
      <c r="F9" s="7"/>
      <c r="G9" s="7">
        <v>950</v>
      </c>
      <c r="H9" s="7">
        <v>59</v>
      </c>
      <c r="I9" s="7">
        <v>537</v>
      </c>
      <c r="J9" s="7">
        <v>12</v>
      </c>
      <c r="K9" s="7"/>
      <c r="L9" s="7">
        <v>306548</v>
      </c>
    </row>
    <row r="10" spans="1:12" x14ac:dyDescent="0.35">
      <c r="A10" t="s">
        <v>226</v>
      </c>
      <c r="B10" s="7"/>
      <c r="C10" s="7">
        <v>-42575</v>
      </c>
      <c r="D10" s="7">
        <v>44968</v>
      </c>
      <c r="E10" s="7"/>
      <c r="F10" s="7"/>
      <c r="G10" s="7"/>
      <c r="H10" s="7"/>
      <c r="I10" s="7"/>
      <c r="J10" s="7"/>
      <c r="K10" s="7"/>
      <c r="L10" s="7">
        <v>2391</v>
      </c>
    </row>
    <row r="11" spans="1:12" x14ac:dyDescent="0.35">
      <c r="A11" t="s">
        <v>227</v>
      </c>
      <c r="B11" s="7"/>
      <c r="C11" s="7">
        <v>-3136</v>
      </c>
      <c r="D11" s="7">
        <v>2290</v>
      </c>
      <c r="E11" s="7">
        <v>485</v>
      </c>
      <c r="F11" s="7"/>
      <c r="G11" s="7"/>
      <c r="H11" s="7"/>
      <c r="I11" s="7"/>
      <c r="J11" s="7">
        <v>-1</v>
      </c>
      <c r="K11" s="7"/>
      <c r="L11" s="7">
        <v>-361</v>
      </c>
    </row>
    <row r="12" spans="1:12" x14ac:dyDescent="0.35">
      <c r="A12" t="s">
        <v>228</v>
      </c>
      <c r="B12" s="7">
        <v>-28</v>
      </c>
      <c r="C12" s="7">
        <v>-20245</v>
      </c>
      <c r="D12" s="7">
        <v>-25690</v>
      </c>
      <c r="E12" s="7">
        <v>-47824</v>
      </c>
      <c r="F12" s="7"/>
      <c r="G12" s="7">
        <v>-950</v>
      </c>
      <c r="H12" s="7"/>
      <c r="I12" s="7"/>
      <c r="J12" s="7">
        <v>27109</v>
      </c>
      <c r="K12" s="7"/>
      <c r="L12" s="7">
        <v>-67627</v>
      </c>
    </row>
    <row r="13" spans="1:12" x14ac:dyDescent="0.35">
      <c r="A13" t="s">
        <v>66</v>
      </c>
      <c r="B13" s="7"/>
      <c r="C13" s="7"/>
      <c r="D13" s="7"/>
      <c r="E13" s="7"/>
      <c r="F13" s="7"/>
      <c r="G13" s="7"/>
      <c r="H13" s="7"/>
      <c r="I13" s="7"/>
      <c r="J13" s="7"/>
      <c r="K13" s="7"/>
      <c r="L13" s="7"/>
    </row>
    <row r="14" spans="1:12" x14ac:dyDescent="0.35">
      <c r="A14" t="s">
        <v>229</v>
      </c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</row>
    <row r="15" spans="1:12" x14ac:dyDescent="0.35">
      <c r="A15" t="s">
        <v>230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</row>
    <row r="16" spans="1:12" x14ac:dyDescent="0.35">
      <c r="A16" t="s">
        <v>70</v>
      </c>
      <c r="B16" s="7"/>
      <c r="C16" s="7">
        <v>-258715</v>
      </c>
      <c r="D16" s="7">
        <v>245005</v>
      </c>
      <c r="E16" s="7"/>
      <c r="F16" s="7"/>
      <c r="G16" s="7"/>
      <c r="H16" s="7"/>
      <c r="I16" s="7"/>
      <c r="J16" s="7"/>
      <c r="K16" s="7"/>
      <c r="L16" s="7">
        <v>-13711</v>
      </c>
    </row>
    <row r="17" spans="1:12" x14ac:dyDescent="0.35">
      <c r="A17" t="s">
        <v>231</v>
      </c>
      <c r="B17" s="7">
        <v>-451</v>
      </c>
      <c r="C17" s="7"/>
      <c r="D17" s="7"/>
      <c r="E17" s="7"/>
      <c r="F17" s="7"/>
      <c r="G17" s="7"/>
      <c r="H17" s="7"/>
      <c r="I17" s="7"/>
      <c r="J17" s="7"/>
      <c r="K17" s="7"/>
      <c r="L17" s="7">
        <v>-451</v>
      </c>
    </row>
    <row r="18" spans="1:12" x14ac:dyDescent="0.35">
      <c r="A18" t="s">
        <v>232</v>
      </c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</row>
    <row r="19" spans="1:12" x14ac:dyDescent="0.35">
      <c r="A19" t="s">
        <v>233</v>
      </c>
      <c r="B19" s="7"/>
      <c r="C19" s="7"/>
      <c r="D19" s="7"/>
      <c r="E19" s="7"/>
      <c r="F19" s="7"/>
      <c r="G19" s="7"/>
      <c r="H19" s="7"/>
      <c r="I19" s="7">
        <v>-111</v>
      </c>
      <c r="J19" s="7"/>
      <c r="K19" s="7"/>
      <c r="L19" s="7">
        <v>-111</v>
      </c>
    </row>
    <row r="20" spans="1:12" x14ac:dyDescent="0.35">
      <c r="A20" t="s">
        <v>234</v>
      </c>
      <c r="B20" s="7">
        <v>-127</v>
      </c>
      <c r="C20" s="7">
        <v>-30</v>
      </c>
      <c r="D20" s="7">
        <v>-9421</v>
      </c>
      <c r="E20" s="7">
        <v>-8557</v>
      </c>
      <c r="F20" s="7"/>
      <c r="G20" s="7"/>
      <c r="H20" s="7"/>
      <c r="I20" s="7"/>
      <c r="J20" s="7">
        <v>-2677</v>
      </c>
      <c r="K20" s="7"/>
      <c r="L20" s="7">
        <v>-20817</v>
      </c>
    </row>
    <row r="21" spans="1:12" x14ac:dyDescent="0.35">
      <c r="A21" t="s">
        <v>235</v>
      </c>
      <c r="B21" s="7">
        <v>-144</v>
      </c>
      <c r="C21" s="7"/>
      <c r="D21" s="7"/>
      <c r="E21" s="7">
        <v>-1161</v>
      </c>
      <c r="F21" s="7"/>
      <c r="G21" s="7"/>
      <c r="H21" s="7"/>
      <c r="I21" s="7"/>
      <c r="J21" s="7">
        <v>-2745</v>
      </c>
      <c r="K21" s="7"/>
      <c r="L21" s="7">
        <v>-4050</v>
      </c>
    </row>
    <row r="22" spans="1:12" x14ac:dyDescent="0.35">
      <c r="A22" t="s">
        <v>131</v>
      </c>
      <c r="B22" s="7">
        <v>403</v>
      </c>
      <c r="C22" s="7">
        <v>3611</v>
      </c>
      <c r="D22" s="7">
        <v>122607</v>
      </c>
      <c r="E22" s="7">
        <v>53010</v>
      </c>
      <c r="F22" s="7"/>
      <c r="G22" s="7"/>
      <c r="H22" s="7">
        <v>59</v>
      </c>
      <c r="I22" s="7">
        <v>427</v>
      </c>
      <c r="J22" s="7">
        <v>21697</v>
      </c>
      <c r="K22" s="7"/>
      <c r="L22" s="7">
        <v>201814</v>
      </c>
    </row>
    <row r="23" spans="1:12" x14ac:dyDescent="0.35">
      <c r="A23" t="s">
        <v>80</v>
      </c>
      <c r="B23" s="7">
        <v>385</v>
      </c>
      <c r="C23" s="7">
        <v>2078</v>
      </c>
      <c r="D23" s="7">
        <v>19028</v>
      </c>
      <c r="E23" s="7">
        <v>35145</v>
      </c>
      <c r="F23" s="7"/>
      <c r="G23" s="7"/>
      <c r="H23" s="7"/>
      <c r="I23" s="7"/>
      <c r="J23" s="7">
        <v>5350</v>
      </c>
      <c r="K23" s="7"/>
      <c r="L23" s="7">
        <v>61984</v>
      </c>
    </row>
    <row r="24" spans="1:12" x14ac:dyDescent="0.35">
      <c r="A24" t="s">
        <v>82</v>
      </c>
      <c r="B24" s="7"/>
      <c r="C24" s="7"/>
      <c r="D24" s="7">
        <v>59105</v>
      </c>
      <c r="E24" s="7"/>
      <c r="F24" s="7"/>
      <c r="G24" s="7"/>
      <c r="H24" s="7"/>
      <c r="I24" s="7"/>
      <c r="J24" s="7"/>
      <c r="K24" s="7"/>
      <c r="L24" s="7">
        <v>59105</v>
      </c>
    </row>
    <row r="25" spans="1:12" x14ac:dyDescent="0.35">
      <c r="A25" t="s">
        <v>86</v>
      </c>
      <c r="B25" s="7">
        <v>18</v>
      </c>
      <c r="C25" s="7"/>
      <c r="D25" s="7">
        <v>18686</v>
      </c>
      <c r="E25" s="7">
        <v>9413</v>
      </c>
      <c r="F25" s="7"/>
      <c r="G25" s="7"/>
      <c r="H25" s="7">
        <v>53</v>
      </c>
      <c r="I25" s="7">
        <v>240</v>
      </c>
      <c r="J25" s="7">
        <v>9172</v>
      </c>
      <c r="K25" s="7"/>
      <c r="L25" s="7">
        <v>37582</v>
      </c>
    </row>
    <row r="26" spans="1:12" x14ac:dyDescent="0.35">
      <c r="A26" t="s">
        <v>88</v>
      </c>
      <c r="B26" s="7"/>
      <c r="C26" s="7"/>
      <c r="D26" s="7">
        <v>3784</v>
      </c>
      <c r="E26" s="7">
        <v>1253</v>
      </c>
      <c r="F26" s="7"/>
      <c r="G26" s="7"/>
      <c r="H26" s="7"/>
      <c r="I26" s="7">
        <v>74</v>
      </c>
      <c r="J26" s="7">
        <v>4612</v>
      </c>
      <c r="K26" s="7"/>
      <c r="L26" s="7">
        <v>9723</v>
      </c>
    </row>
    <row r="27" spans="1:12" x14ac:dyDescent="0.35">
      <c r="A27" t="s">
        <v>90</v>
      </c>
      <c r="B27" s="7"/>
      <c r="C27" s="7"/>
      <c r="D27" s="7">
        <v>4411</v>
      </c>
      <c r="E27" s="7"/>
      <c r="F27" s="7"/>
      <c r="G27" s="7"/>
      <c r="H27" s="7"/>
      <c r="I27" s="7"/>
      <c r="J27" s="7">
        <v>749</v>
      </c>
      <c r="K27" s="7"/>
      <c r="L27" s="7">
        <v>5161</v>
      </c>
    </row>
    <row r="28" spans="1:12" x14ac:dyDescent="0.35">
      <c r="A28" t="s">
        <v>92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</row>
    <row r="29" spans="1:12" x14ac:dyDescent="0.35">
      <c r="A29" t="s">
        <v>94</v>
      </c>
      <c r="B29" s="7"/>
      <c r="C29" s="7"/>
      <c r="D29" s="7">
        <v>1513</v>
      </c>
      <c r="E29" s="7">
        <v>197</v>
      </c>
      <c r="F29" s="7"/>
      <c r="G29" s="7"/>
      <c r="H29" s="7">
        <v>6</v>
      </c>
      <c r="I29" s="7">
        <v>113</v>
      </c>
      <c r="J29" s="7">
        <v>1815</v>
      </c>
      <c r="K29" s="7"/>
      <c r="L29" s="7">
        <v>3643</v>
      </c>
    </row>
    <row r="30" spans="1:12" x14ac:dyDescent="0.35">
      <c r="A30" t="s">
        <v>236</v>
      </c>
      <c r="B30" s="7"/>
      <c r="C30" s="7">
        <v>1533</v>
      </c>
      <c r="D30" s="7">
        <v>16079</v>
      </c>
      <c r="E30" s="7">
        <v>7001</v>
      </c>
      <c r="F30" s="7"/>
      <c r="G30" s="7"/>
      <c r="H30" s="7"/>
      <c r="I30" s="7"/>
      <c r="J30" s="7"/>
      <c r="K30" s="7"/>
      <c r="L30" s="7">
        <v>24614</v>
      </c>
    </row>
    <row r="32" spans="1:12" x14ac:dyDescent="0.35">
      <c r="B32" s="7">
        <f>SUM(B9,B10:B21,B22*-1)</f>
        <v>-1</v>
      </c>
      <c r="C32" s="7">
        <f t="shared" ref="C32:L32" si="0">SUM(C9,C10:C21,C22*-1)</f>
        <v>1</v>
      </c>
      <c r="D32" s="7">
        <f t="shared" si="0"/>
        <v>3</v>
      </c>
      <c r="E32" s="7">
        <f t="shared" si="0"/>
        <v>-2</v>
      </c>
      <c r="F32" s="7">
        <f t="shared" si="0"/>
        <v>0</v>
      </c>
      <c r="G32" s="7">
        <f t="shared" si="0"/>
        <v>0</v>
      </c>
      <c r="H32" s="7">
        <f t="shared" si="0"/>
        <v>0</v>
      </c>
      <c r="I32" s="7">
        <f t="shared" si="0"/>
        <v>-1</v>
      </c>
      <c r="J32" s="7">
        <f t="shared" si="0"/>
        <v>1</v>
      </c>
      <c r="K32" s="7">
        <f t="shared" si="0"/>
        <v>0</v>
      </c>
      <c r="L32" s="7">
        <f t="shared" si="0"/>
        <v>-3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Ark52"/>
  <dimension ref="A1:AH31"/>
  <sheetViews>
    <sheetView topLeftCell="F1" zoomScale="50" zoomScaleNormal="50" workbookViewId="0">
      <selection activeCell="N8" sqref="N8"/>
    </sheetView>
  </sheetViews>
  <sheetFormatPr defaultRowHeight="14.5" x14ac:dyDescent="0.35"/>
  <cols>
    <col min="3" max="3" width="16.453125" customWidth="1"/>
    <col min="4" max="4" width="12.81640625" customWidth="1"/>
    <col min="5" max="5" width="12.54296875" customWidth="1"/>
    <col min="6" max="6" width="16.54296875" customWidth="1"/>
    <col min="10" max="10" width="12.54296875" customWidth="1"/>
    <col min="11" max="11" width="11.54296875" customWidth="1"/>
    <col min="14" max="14" width="10.81640625" customWidth="1"/>
    <col min="15" max="15" width="51.54296875" customWidth="1"/>
    <col min="16" max="18" width="15.81640625" customWidth="1"/>
    <col min="19" max="19" width="12.81640625" customWidth="1"/>
    <col min="24" max="24" width="14.1796875" bestFit="1" customWidth="1"/>
    <col min="33" max="34" width="11.26953125" customWidth="1"/>
  </cols>
  <sheetData>
    <row r="1" spans="1:34" ht="140" x14ac:dyDescent="0.35">
      <c r="B1" s="44" t="s">
        <v>0</v>
      </c>
      <c r="C1" s="3" t="s">
        <v>1</v>
      </c>
      <c r="D1" s="8" t="s">
        <v>2</v>
      </c>
      <c r="E1" s="2" t="s">
        <v>3</v>
      </c>
      <c r="F1" s="3" t="s">
        <v>4</v>
      </c>
      <c r="G1" s="1" t="s">
        <v>5</v>
      </c>
      <c r="H1" s="1" t="s">
        <v>6</v>
      </c>
      <c r="I1" s="1" t="s">
        <v>7</v>
      </c>
      <c r="J1" s="3" t="s">
        <v>8</v>
      </c>
      <c r="K1" s="2" t="s">
        <v>9</v>
      </c>
      <c r="L1" s="2" t="s">
        <v>10</v>
      </c>
      <c r="M1" s="17" t="s">
        <v>11</v>
      </c>
      <c r="N1" s="5" t="s">
        <v>12</v>
      </c>
      <c r="O1" s="4" t="s">
        <v>97</v>
      </c>
      <c r="P1" s="60"/>
      <c r="Q1" s="60"/>
      <c r="R1" s="12" t="s">
        <v>14</v>
      </c>
      <c r="S1" s="11" t="s">
        <v>15</v>
      </c>
      <c r="T1" s="12" t="s">
        <v>16</v>
      </c>
      <c r="U1" s="44" t="s">
        <v>17</v>
      </c>
      <c r="V1" s="3" t="s">
        <v>1</v>
      </c>
      <c r="W1" s="8" t="s">
        <v>2</v>
      </c>
      <c r="X1" s="9" t="s">
        <v>3</v>
      </c>
      <c r="Y1" s="3" t="s">
        <v>4</v>
      </c>
      <c r="Z1" s="1" t="s">
        <v>5</v>
      </c>
      <c r="AA1" s="1" t="s">
        <v>6</v>
      </c>
      <c r="AB1" s="1" t="s">
        <v>7</v>
      </c>
      <c r="AC1" s="3" t="s">
        <v>8</v>
      </c>
      <c r="AD1" s="2" t="s">
        <v>9</v>
      </c>
      <c r="AE1" s="2" t="s">
        <v>10</v>
      </c>
      <c r="AF1" s="17" t="s">
        <v>11</v>
      </c>
      <c r="AG1" s="13" t="s">
        <v>18</v>
      </c>
      <c r="AH1" s="13" t="s">
        <v>19</v>
      </c>
    </row>
    <row r="2" spans="1:34" ht="24.75" customHeight="1" x14ac:dyDescent="0.35">
      <c r="A2" s="45" t="s">
        <v>20</v>
      </c>
      <c r="B2" s="46" t="s">
        <v>21</v>
      </c>
      <c r="C2" s="46" t="s">
        <v>22</v>
      </c>
      <c r="D2" s="46" t="s">
        <v>23</v>
      </c>
      <c r="E2" s="47" t="s">
        <v>24</v>
      </c>
      <c r="F2" s="46" t="s">
        <v>25</v>
      </c>
      <c r="G2" s="46" t="s">
        <v>26</v>
      </c>
      <c r="H2" s="46" t="s">
        <v>27</v>
      </c>
      <c r="I2" s="46" t="s">
        <v>28</v>
      </c>
      <c r="J2" s="48" t="s">
        <v>29</v>
      </c>
      <c r="K2" s="47" t="s">
        <v>30</v>
      </c>
      <c r="L2" s="49" t="s">
        <v>31</v>
      </c>
      <c r="M2" s="49" t="s">
        <v>32</v>
      </c>
      <c r="N2" s="50" t="s">
        <v>33</v>
      </c>
      <c r="O2" s="51"/>
      <c r="P2" s="52" t="s">
        <v>20</v>
      </c>
      <c r="Q2" s="53" t="s">
        <v>34</v>
      </c>
      <c r="R2" s="50" t="s">
        <v>35</v>
      </c>
      <c r="S2" s="54" t="s">
        <v>36</v>
      </c>
      <c r="T2" s="50" t="s">
        <v>37</v>
      </c>
      <c r="U2" s="46" t="s">
        <v>38</v>
      </c>
      <c r="V2" s="46" t="s">
        <v>39</v>
      </c>
      <c r="W2" s="46" t="s">
        <v>40</v>
      </c>
      <c r="X2" s="47" t="s">
        <v>41</v>
      </c>
      <c r="Y2" s="46" t="s">
        <v>42</v>
      </c>
      <c r="Z2" s="46" t="s">
        <v>43</v>
      </c>
      <c r="AA2" s="46" t="s">
        <v>44</v>
      </c>
      <c r="AB2" s="46" t="s">
        <v>45</v>
      </c>
      <c r="AC2" s="46" t="s">
        <v>46</v>
      </c>
      <c r="AD2" s="47" t="s">
        <v>47</v>
      </c>
      <c r="AE2" s="47" t="s">
        <v>48</v>
      </c>
      <c r="AF2" s="49" t="s">
        <v>49</v>
      </c>
      <c r="AG2" s="46" t="s">
        <v>50</v>
      </c>
      <c r="AH2" s="46" t="s">
        <v>51</v>
      </c>
    </row>
    <row r="3" spans="1:34" ht="24.75" customHeight="1" x14ac:dyDescent="0.35">
      <c r="A3" s="45" t="s">
        <v>34</v>
      </c>
      <c r="B3" s="55"/>
      <c r="C3" s="56" t="s">
        <v>52</v>
      </c>
      <c r="D3" s="56" t="s">
        <v>52</v>
      </c>
      <c r="E3" s="56" t="s">
        <v>21</v>
      </c>
      <c r="F3" s="56" t="s">
        <v>21</v>
      </c>
      <c r="G3" s="56" t="s">
        <v>21</v>
      </c>
      <c r="H3" s="56" t="s">
        <v>52</v>
      </c>
      <c r="I3" s="56" t="s">
        <v>52</v>
      </c>
      <c r="J3" s="56" t="s">
        <v>21</v>
      </c>
      <c r="K3" s="56" t="s">
        <v>21</v>
      </c>
      <c r="L3" s="57" t="s">
        <v>21</v>
      </c>
      <c r="M3" s="57" t="s">
        <v>21</v>
      </c>
      <c r="N3" s="50"/>
      <c r="O3" s="51" t="s">
        <v>53</v>
      </c>
      <c r="P3" s="52"/>
      <c r="Q3" s="53"/>
      <c r="R3" s="74"/>
      <c r="S3" s="58"/>
      <c r="T3" s="59"/>
      <c r="U3" s="55"/>
      <c r="V3" s="56" t="s">
        <v>38</v>
      </c>
      <c r="W3" s="56" t="s">
        <v>38</v>
      </c>
      <c r="X3" s="56" t="s">
        <v>38</v>
      </c>
      <c r="Y3" s="56" t="s">
        <v>38</v>
      </c>
      <c r="Z3" s="56" t="s">
        <v>38</v>
      </c>
      <c r="AA3" s="56" t="s">
        <v>38</v>
      </c>
      <c r="AB3" s="56" t="s">
        <v>54</v>
      </c>
      <c r="AC3" s="56" t="s">
        <v>38</v>
      </c>
      <c r="AD3" s="56" t="s">
        <v>38</v>
      </c>
      <c r="AE3" s="56" t="s">
        <v>38</v>
      </c>
      <c r="AF3" s="57" t="s">
        <v>38</v>
      </c>
      <c r="AG3" s="56"/>
      <c r="AH3" s="56"/>
    </row>
    <row r="4" spans="1:34" ht="24.75" customHeight="1" x14ac:dyDescent="0.35">
      <c r="A4" s="72" t="s">
        <v>55</v>
      </c>
      <c r="B4" s="72"/>
      <c r="C4" s="56"/>
      <c r="D4" s="56"/>
      <c r="E4" s="56"/>
      <c r="F4" s="56"/>
      <c r="G4" s="56"/>
      <c r="H4" s="56"/>
      <c r="I4" s="56"/>
      <c r="J4" s="56"/>
      <c r="K4" s="56"/>
      <c r="L4" s="57"/>
      <c r="M4" s="57"/>
      <c r="N4" s="50"/>
      <c r="O4" s="51"/>
      <c r="P4" s="73"/>
      <c r="Q4" s="53"/>
      <c r="R4" s="74"/>
      <c r="S4" s="58"/>
      <c r="T4" s="59"/>
      <c r="U4" s="55">
        <f>B4</f>
        <v>0</v>
      </c>
      <c r="V4" s="56"/>
      <c r="W4" s="56"/>
      <c r="X4" s="56"/>
      <c r="Y4" s="56"/>
      <c r="Z4" s="56"/>
      <c r="AA4" s="56"/>
      <c r="AB4" s="56"/>
      <c r="AC4" s="56"/>
      <c r="AD4" s="56"/>
      <c r="AE4" s="56"/>
      <c r="AF4" s="57"/>
      <c r="AG4" s="56">
        <f>U4</f>
        <v>0</v>
      </c>
      <c r="AH4" s="56">
        <f>U4</f>
        <v>0</v>
      </c>
    </row>
    <row r="5" spans="1:34" x14ac:dyDescent="0.35">
      <c r="C5" s="14"/>
      <c r="D5" s="14"/>
      <c r="E5" s="14"/>
      <c r="F5" s="14"/>
      <c r="G5" s="14"/>
      <c r="H5" s="14"/>
      <c r="I5" s="14"/>
      <c r="J5" s="14"/>
      <c r="K5" s="14"/>
      <c r="L5" s="14"/>
      <c r="M5" s="14"/>
      <c r="N5" s="23">
        <f>SUM(C5:M5)</f>
        <v>0</v>
      </c>
      <c r="O5" s="10" t="s">
        <v>56</v>
      </c>
      <c r="P5" s="62" t="s">
        <v>57</v>
      </c>
      <c r="Q5" s="63"/>
      <c r="R5" s="63"/>
      <c r="S5" s="24">
        <f>SUM(V5:AF5)</f>
        <v>520699.33580458112</v>
      </c>
      <c r="T5" s="37"/>
      <c r="U5" s="61"/>
      <c r="V5" s="14">
        <f>-(C6+C5)</f>
        <v>142035.03369512796</v>
      </c>
      <c r="W5" s="14">
        <f>-(D6+D5)</f>
        <v>162616.2408820265</v>
      </c>
      <c r="X5" s="14"/>
      <c r="Y5" s="14">
        <f>-(F6+F5)</f>
        <v>131795.66391851055</v>
      </c>
      <c r="Z5" s="14">
        <f>-(G6+G5)</f>
        <v>31913.927632474217</v>
      </c>
      <c r="AA5" s="14"/>
      <c r="AB5" s="14"/>
      <c r="AC5" s="14">
        <f>-(J6+J5)</f>
        <v>52338.469676441935</v>
      </c>
      <c r="AD5" s="14"/>
      <c r="AE5" s="14"/>
      <c r="AF5" s="14"/>
      <c r="AG5" s="14"/>
      <c r="AH5" s="14"/>
    </row>
    <row r="6" spans="1:34" x14ac:dyDescent="0.35">
      <c r="C6" s="14">
        <f>-V6</f>
        <v>-142035.03369512796</v>
      </c>
      <c r="D6" s="14">
        <f>-W6</f>
        <v>-162616.2408820265</v>
      </c>
      <c r="E6" s="14"/>
      <c r="F6" s="14">
        <f>-Y6</f>
        <v>-131795.66391851055</v>
      </c>
      <c r="G6" s="14">
        <f>-Z6</f>
        <v>-31913.927632474217</v>
      </c>
      <c r="H6" s="14"/>
      <c r="I6" s="14"/>
      <c r="J6" s="14">
        <f>-AC6</f>
        <v>-52338.469676441935</v>
      </c>
      <c r="K6" s="14"/>
      <c r="L6" s="18"/>
      <c r="M6" s="18"/>
      <c r="N6" s="23">
        <f t="shared" ref="N6:N15" si="0">SUM(C6:M6)</f>
        <v>-520699.33580458112</v>
      </c>
      <c r="O6" s="22" t="s">
        <v>58</v>
      </c>
      <c r="P6" s="65" t="s">
        <v>59</v>
      </c>
      <c r="Q6" s="66"/>
      <c r="R6" s="66"/>
      <c r="S6" s="24">
        <f t="shared" ref="S6:S25" si="1">SUM(V6:AF6)</f>
        <v>520699.33580458112</v>
      </c>
      <c r="T6" s="37"/>
      <c r="U6" s="61"/>
      <c r="V6" s="14">
        <f>-(C16+C8)</f>
        <v>142035.03369512796</v>
      </c>
      <c r="W6" s="14">
        <f>-(D16+D8)</f>
        <v>162616.2408820265</v>
      </c>
      <c r="X6" s="14"/>
      <c r="Y6" s="14">
        <f>-(F16+F8)</f>
        <v>131795.66391851055</v>
      </c>
      <c r="Z6" s="14">
        <f>-(G16+G8)</f>
        <v>31913.927632474217</v>
      </c>
      <c r="AA6" s="14"/>
      <c r="AB6" s="14"/>
      <c r="AC6" s="14">
        <f>-(J16+J8)</f>
        <v>52338.469676441935</v>
      </c>
      <c r="AD6" s="14"/>
      <c r="AE6" s="14"/>
      <c r="AF6" s="14"/>
      <c r="AG6" s="21">
        <f>-(N6+S6)</f>
        <v>0</v>
      </c>
      <c r="AH6" s="21"/>
    </row>
    <row r="7" spans="1:34" x14ac:dyDescent="0.35"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23">
        <f t="shared" si="0"/>
        <v>0</v>
      </c>
      <c r="O7" s="22" t="s">
        <v>60</v>
      </c>
      <c r="P7" s="67" t="s">
        <v>61</v>
      </c>
      <c r="Q7" s="66"/>
      <c r="R7" s="66"/>
      <c r="S7" s="24">
        <f t="shared" si="1"/>
        <v>27334.799588868831</v>
      </c>
      <c r="T7" s="37"/>
      <c r="U7" s="61"/>
      <c r="V7" s="14"/>
      <c r="W7" s="14"/>
      <c r="X7" s="14"/>
      <c r="Y7" s="14"/>
      <c r="Z7" s="16"/>
      <c r="AA7" s="19">
        <f>-H8</f>
        <v>16507.186763417852</v>
      </c>
      <c r="AB7" s="19">
        <f>-I8</f>
        <v>10827.61282545098</v>
      </c>
      <c r="AC7" s="14"/>
      <c r="AD7" s="14"/>
      <c r="AE7" s="14"/>
      <c r="AF7" s="14"/>
      <c r="AG7" s="14"/>
      <c r="AH7" s="14"/>
    </row>
    <row r="8" spans="1:34" x14ac:dyDescent="0.35">
      <c r="C8" s="14">
        <f>SUM(C9:C13)</f>
        <v>-112389.01257652155</v>
      </c>
      <c r="D8" s="14">
        <f t="shared" ref="D8:M8" si="2">SUM(D9:D13)</f>
        <v>-162512.67586065247</v>
      </c>
      <c r="E8" s="14">
        <f t="shared" si="2"/>
        <v>-16003.22561884053</v>
      </c>
      <c r="F8" s="14">
        <f t="shared" si="2"/>
        <v>-70413.239458267621</v>
      </c>
      <c r="G8" s="14">
        <f t="shared" si="2"/>
        <v>-31913.927632474217</v>
      </c>
      <c r="H8" s="14">
        <f t="shared" si="2"/>
        <v>-16507.186763417852</v>
      </c>
      <c r="I8" s="14">
        <f t="shared" si="2"/>
        <v>-10827.61282545098</v>
      </c>
      <c r="J8" s="14">
        <f t="shared" si="2"/>
        <v>-10039.44822975615</v>
      </c>
      <c r="K8" s="14">
        <f t="shared" si="2"/>
        <v>-8110.3946325434554</v>
      </c>
      <c r="L8" s="14">
        <f t="shared" si="2"/>
        <v>-1639.3725439999998</v>
      </c>
      <c r="M8" s="14">
        <f t="shared" si="2"/>
        <v>0</v>
      </c>
      <c r="N8" s="23">
        <f t="shared" si="0"/>
        <v>-440356.09614192479</v>
      </c>
      <c r="O8" s="22" t="s">
        <v>62</v>
      </c>
      <c r="P8" s="67" t="s">
        <v>63</v>
      </c>
      <c r="Q8" s="66"/>
      <c r="R8" s="66"/>
      <c r="S8" s="24">
        <f t="shared" si="1"/>
        <v>275416.00508615928</v>
      </c>
      <c r="T8" s="37"/>
      <c r="U8" s="61"/>
      <c r="V8" s="14">
        <f>SUM(V9:V13)</f>
        <v>0</v>
      </c>
      <c r="W8" s="14"/>
      <c r="X8" s="14">
        <f>(E14+E8)*-1</f>
        <v>157270.11801254185</v>
      </c>
      <c r="Y8" s="14"/>
      <c r="Z8" s="14"/>
      <c r="AA8" s="14"/>
      <c r="AB8" s="14"/>
      <c r="AC8" s="14"/>
      <c r="AD8" s="14">
        <f>(K14+K8)*-1</f>
        <v>103082.82134896642</v>
      </c>
      <c r="AE8" s="14">
        <f>(L14+L8)*-1</f>
        <v>15063.065724651025</v>
      </c>
      <c r="AF8" s="14"/>
      <c r="AG8" s="21">
        <f>-(N8+S8)</f>
        <v>164940.09105576552</v>
      </c>
      <c r="AH8" s="21">
        <f>SUM(AH9:AH13)</f>
        <v>15906.755990922682</v>
      </c>
    </row>
    <row r="9" spans="1:34" x14ac:dyDescent="0.35">
      <c r="C9" s="26">
        <f>-($AD$9+$H$9+$I$9)/$T$9*'KF World'!$H108</f>
        <v>-79478.034853624005</v>
      </c>
      <c r="D9" s="26">
        <f>-($AD$9+$H$9+$I$9)/$T$9*'KF World'!$H109</f>
        <v>-1392.7857319811235</v>
      </c>
      <c r="E9" s="26">
        <f>-($AD$9+$H$9+$I$9)/$T$9*'KF World'!$H110</f>
        <v>-6600.4322247470709</v>
      </c>
      <c r="F9" s="26">
        <f>-($AD$9+$H$9+$I$9)/$T$9*'KF World'!$H111</f>
        <v>-41142.078436998709</v>
      </c>
      <c r="G9" s="26">
        <f>-($AD$9+$H$9+$I$9)/$T$9*'KF World'!$H112</f>
        <v>-31769.489067529215</v>
      </c>
      <c r="H9" s="26">
        <f>AD9*'KF World'!H93*-1</f>
        <v>-16507.186763417852</v>
      </c>
      <c r="I9" s="26">
        <f>AD9*'KF World'!H94*-1</f>
        <v>-10635.967329964697</v>
      </c>
      <c r="J9" s="26">
        <f>-($AD$9+$H$9+$I$9)/$T$9*'KF World'!$H113</f>
        <v>-6137.6607940022332</v>
      </c>
      <c r="K9" s="25"/>
      <c r="L9" s="25"/>
      <c r="M9" s="25"/>
      <c r="N9" s="23">
        <f t="shared" si="0"/>
        <v>-193663.63520226494</v>
      </c>
      <c r="O9" s="6" t="s">
        <v>64</v>
      </c>
      <c r="P9" s="68" t="s">
        <v>65</v>
      </c>
      <c r="Q9" s="69" t="s">
        <v>63</v>
      </c>
      <c r="R9" s="69"/>
      <c r="S9" s="24">
        <f t="shared" si="1"/>
        <v>88006.286817736822</v>
      </c>
      <c r="T9" s="37">
        <f>'KF World'!H103</f>
        <v>0.36549938073117771</v>
      </c>
      <c r="U9" s="61"/>
      <c r="V9" s="28"/>
      <c r="W9" s="28"/>
      <c r="X9" s="28"/>
      <c r="Y9" s="28"/>
      <c r="Z9" s="28"/>
      <c r="AA9" s="28"/>
      <c r="AB9" s="28"/>
      <c r="AC9" s="28"/>
      <c r="AD9" s="28">
        <f>AD8-AD10</f>
        <v>88006.286817736822</v>
      </c>
      <c r="AE9" s="28"/>
      <c r="AF9" s="28"/>
      <c r="AG9" s="29">
        <f>-(S9+N9)</f>
        <v>105657.34838452812</v>
      </c>
      <c r="AH9" s="29">
        <f>-(C9*Emissionsfaktorer!$B$2*(1-'KF World'!H133)+D9*Emissionsfaktorer!$B$3+E9*Emissionsfaktorer!$B$4*(1-'KF World'!H134)+F9*Emissionsfaktorer!$B$5*(1-'KF World'!H135)+G9*Emissionsfaktorer!$B$6+H9*Emissionsfaktorer!$B$7+I9*Emissionsfaktorer!$B$8-J9*Emissionsfaktorer!B13*'KF World'!H136+K9*Emissionsfaktorer!$B$10+L9*Emissionsfaktorer!$B$11+M9*Emissionsfaktorer!$B$12)</f>
        <v>10397.144631083984</v>
      </c>
    </row>
    <row r="10" spans="1:34" x14ac:dyDescent="0.35">
      <c r="C10" s="26">
        <f>-($AD$10+$AE$10+$H$10+$I$10)/$T$10*'KF World'!$H115</f>
        <v>-28550.028206062267</v>
      </c>
      <c r="D10" s="26">
        <f>-($AD$10+$AE$10+$H$10+$I$10)/$T$10*'KF World'!$H116</f>
        <v>-0.88664421626571299</v>
      </c>
      <c r="E10" s="26">
        <f>-($AD$10+$AE$10+$H$10+$I$10)/$T$10*'KF World'!$H117</f>
        <v>-653.75233545991898</v>
      </c>
      <c r="F10" s="26">
        <f>-($AD$10+$AE$10+$H$10+$I$10)/$T$10*'KF World'!$H118</f>
        <v>-14077.419106263347</v>
      </c>
      <c r="G10" s="26">
        <f>-($AD$10+$AE$10+$H$10+$I$10)/$T$10*'KF World'!$H119</f>
        <v>-144.43856494500019</v>
      </c>
      <c r="H10" s="26"/>
      <c r="I10" s="26">
        <f>(AD10+AE10)*'KF World'!H97*-1</f>
        <v>-123.33035741692754</v>
      </c>
      <c r="J10" s="26">
        <f>-($AD$10+$AE$10+$H$10+$I$10)/$T$10*'KF World'!$H120</f>
        <v>-2731.2863976299509</v>
      </c>
      <c r="K10" s="25"/>
      <c r="L10" s="25"/>
      <c r="M10" s="25"/>
      <c r="N10" s="23">
        <f t="shared" si="0"/>
        <v>-46281.141611993669</v>
      </c>
      <c r="O10" s="6" t="s">
        <v>66</v>
      </c>
      <c r="P10" s="68" t="s">
        <v>67</v>
      </c>
      <c r="Q10" s="69" t="s">
        <v>63</v>
      </c>
      <c r="R10" s="69"/>
      <c r="S10" s="24">
        <f t="shared" si="1"/>
        <v>25847.146487844155</v>
      </c>
      <c r="T10" s="37">
        <f>'KF World'!H104</f>
        <v>0.5573014714357063</v>
      </c>
      <c r="U10" s="61"/>
      <c r="V10" s="28"/>
      <c r="W10" s="28"/>
      <c r="X10" s="28"/>
      <c r="Y10" s="28"/>
      <c r="Z10" s="28"/>
      <c r="AA10" s="28"/>
      <c r="AB10" s="28"/>
      <c r="AC10" s="28"/>
      <c r="AD10" s="28">
        <f>AE10*'KF World'!H89</f>
        <v>15076.534531229596</v>
      </c>
      <c r="AE10" s="28">
        <f>AE8*'KF World'!H84</f>
        <v>10770.611956614559</v>
      </c>
      <c r="AF10" s="28"/>
      <c r="AG10" s="29">
        <f t="shared" ref="AG10:AG11" si="3">-(S10+N10)</f>
        <v>20433.995124149515</v>
      </c>
      <c r="AH10" s="29">
        <f>-(C10*Emissionsfaktorer!$B$2*(1-'KF World'!H134)+D10*Emissionsfaktorer!$B$3+E10*Emissionsfaktorer!$B$4*(1-'KF World'!H135)+F10*Emissionsfaktorer!$B$5*(1-'KF World'!H136)+G10*Emissionsfaktorer!$B$6+H10*Emissionsfaktorer!$B$7+I10*Emissionsfaktorer!$B$8-J10*Emissionsfaktorer!B14*'KF World'!H141+K10*Emissionsfaktorer!$B$10+L10*Emissionsfaktorer!$B$11+M10*Emissionsfaktorer!$B$12)</f>
        <v>3564.35074612788</v>
      </c>
    </row>
    <row r="11" spans="1:34" x14ac:dyDescent="0.35">
      <c r="C11" s="26">
        <f>-($AE$11+$H$11+$I$11)/$T$11*'KF World'!$H122</f>
        <v>-1012.822524835273</v>
      </c>
      <c r="D11" s="26">
        <f>-($AE$11+$H$11+$I$11)/$T$11*'KF World'!$H123</f>
        <v>-19.88234298597569</v>
      </c>
      <c r="E11" s="26">
        <f>-($AE$11+$H$11+$I$11)/$T$11*'KF World'!$H124</f>
        <v>-414.62881863353948</v>
      </c>
      <c r="F11" s="26">
        <f>-($AE$11+$H$11+$I$11)/$T$11*'KF World'!$H125</f>
        <v>-2518.7944110055714</v>
      </c>
      <c r="G11" s="26">
        <f>-($AE$11+$H$11+$I$11)/$T$11*'KF World'!$H126</f>
        <v>0</v>
      </c>
      <c r="H11" s="26"/>
      <c r="I11" s="26">
        <f>AE11*'KF World'!H100*-1</f>
        <v>-68.315138069355953</v>
      </c>
      <c r="J11" s="26">
        <f>-($AE$11+$H$11+$I$11)/$T$11*'KF World'!$H127</f>
        <v>-522.61558212396562</v>
      </c>
      <c r="K11" s="28">
        <f>AE11*'KF World'!H87*-1</f>
        <v>-30.019816543456166</v>
      </c>
      <c r="L11" s="25"/>
      <c r="M11" s="25"/>
      <c r="N11" s="23">
        <f t="shared" si="0"/>
        <v>-4587.078634197137</v>
      </c>
      <c r="O11" s="6" t="s">
        <v>68</v>
      </c>
      <c r="P11" s="64" t="s">
        <v>69</v>
      </c>
      <c r="Q11" s="69" t="s">
        <v>63</v>
      </c>
      <c r="R11" s="69"/>
      <c r="S11" s="24">
        <f t="shared" si="1"/>
        <v>4292.4537680364665</v>
      </c>
      <c r="T11" s="37">
        <f>'KF World'!H105</f>
        <v>0.94105142362646144</v>
      </c>
      <c r="U11" s="61"/>
      <c r="V11" s="28"/>
      <c r="W11" s="28"/>
      <c r="X11" s="28"/>
      <c r="Y11" s="28"/>
      <c r="Z11" s="28"/>
      <c r="AA11" s="28"/>
      <c r="AB11" s="28"/>
      <c r="AC11" s="28"/>
      <c r="AD11" s="28"/>
      <c r="AE11" s="28">
        <f>AE8*'KF World'!H85</f>
        <v>4292.4537680364665</v>
      </c>
      <c r="AF11" s="28"/>
      <c r="AG11" s="29">
        <f t="shared" si="3"/>
        <v>294.62486616067054</v>
      </c>
      <c r="AH11" s="29">
        <f>-(C11*Emissionsfaktorer!$B$2+D11*Emissionsfaktorer!$B$3+E11*Emissionsfaktorer!$B$4+F11*Emissionsfaktorer!$B$5+G11*Emissionsfaktorer!$B$6+H11*Emissionsfaktorer!$B$7+I11*Emissionsfaktorer!$B$8+J11*Emissionsfaktorer!$B$9+K11*Emissionsfaktorer!$B$10+L11*Emissionsfaktorer!$B$11+M11*Emissionsfaktorer!$B$12)</f>
        <v>271.30121150281752</v>
      </c>
    </row>
    <row r="12" spans="1:34" x14ac:dyDescent="0.35">
      <c r="C12" s="26"/>
      <c r="D12" s="26">
        <f>-X12/T12*'KF World'!H129</f>
        <v>-160685.88637346911</v>
      </c>
      <c r="E12" s="25"/>
      <c r="F12" s="26"/>
      <c r="G12" s="26"/>
      <c r="H12" s="26"/>
      <c r="I12" s="26"/>
      <c r="J12" s="27">
        <f>-X12/T12*'KF World'!H130</f>
        <v>0</v>
      </c>
      <c r="K12" s="25"/>
      <c r="L12" s="25"/>
      <c r="M12" s="25"/>
      <c r="N12" s="23">
        <f t="shared" si="0"/>
        <v>-160685.88637346911</v>
      </c>
      <c r="O12" s="6" t="s">
        <v>70</v>
      </c>
      <c r="P12" s="64" t="s">
        <v>71</v>
      </c>
      <c r="Q12" s="69" t="s">
        <v>63</v>
      </c>
      <c r="R12" s="69"/>
      <c r="S12" s="24">
        <f t="shared" si="1"/>
        <v>157270.11801254185</v>
      </c>
      <c r="T12" s="37">
        <f>'KF World'!H106</f>
        <v>0.97874257386247188</v>
      </c>
      <c r="U12" s="61"/>
      <c r="V12" s="28"/>
      <c r="W12" s="28"/>
      <c r="X12" s="28">
        <f>-(E9+E10+E11+E13+E14)</f>
        <v>157270.11801254185</v>
      </c>
      <c r="Y12" s="28"/>
      <c r="Z12" s="28"/>
      <c r="AA12" s="28"/>
      <c r="AB12" s="28"/>
      <c r="AC12" s="28"/>
      <c r="AD12" s="28"/>
      <c r="AE12" s="28"/>
      <c r="AF12" s="28"/>
      <c r="AG12" s="29">
        <f>-(S12+N12)</f>
        <v>3415.7683609272644</v>
      </c>
      <c r="AH12" s="29">
        <f>J12*Emissionsfaktorer!B4</f>
        <v>0</v>
      </c>
    </row>
    <row r="13" spans="1:34" x14ac:dyDescent="0.35">
      <c r="C13" s="28">
        <f>N13*'KF World'!H78</f>
        <v>-3348.126992</v>
      </c>
      <c r="D13" s="28">
        <f>N13*'KF World'!H80</f>
        <v>-413.23476799999997</v>
      </c>
      <c r="E13" s="28">
        <f>N13*'KF World'!H81</f>
        <v>-8334.4122399999997</v>
      </c>
      <c r="F13" s="28">
        <f>N13*'KF World'!H79</f>
        <v>-12674.947504</v>
      </c>
      <c r="G13" s="28"/>
      <c r="H13" s="28"/>
      <c r="I13" s="28"/>
      <c r="J13" s="36">
        <f>N13*'KF World'!H82</f>
        <v>-647.88545599999998</v>
      </c>
      <c r="K13" s="28">
        <f>N13*'KF World'!H76</f>
        <v>-8080.3748159999996</v>
      </c>
      <c r="L13" s="28">
        <f>N13*'KF World'!H77</f>
        <v>-1639.3725439999998</v>
      </c>
      <c r="M13" s="25"/>
      <c r="N13" s="23">
        <f>N16*'KF World'!H74</f>
        <v>-35138.354319999999</v>
      </c>
      <c r="O13" s="6" t="s">
        <v>72</v>
      </c>
      <c r="P13" s="64" t="s">
        <v>73</v>
      </c>
      <c r="Q13" s="69" t="s">
        <v>63</v>
      </c>
      <c r="R13" s="69"/>
      <c r="S13" s="24">
        <f t="shared" si="1"/>
        <v>0</v>
      </c>
      <c r="T13" s="37">
        <v>0</v>
      </c>
      <c r="U13" s="61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9">
        <f>-(S13+N13)</f>
        <v>35138.354319999999</v>
      </c>
      <c r="AH13" s="29">
        <f>-(C13*Emissionsfaktorer!$B$2+D13*Emissionsfaktorer!$B$3+E13*Emissionsfaktorer!$B$4+F13*Emissionsfaktorer!$B$5+G13*Emissionsfaktorer!$B$6+H13*Emissionsfaktorer!$B$7+I13*Emissionsfaktorer!$B$8+J13*Emissionsfaktorer!$B$9+K13*Emissionsfaktorer!$B$10+L13*Emissionsfaktorer!$B$11+M13*Emissionsfaktorer!$B$12)</f>
        <v>1673.959402208</v>
      </c>
    </row>
    <row r="14" spans="1:34" x14ac:dyDescent="0.35">
      <c r="C14" s="15"/>
      <c r="D14" s="15"/>
      <c r="E14" s="16">
        <f>-X14*1</f>
        <v>-141266.89239370133</v>
      </c>
      <c r="F14" s="15"/>
      <c r="G14" s="15"/>
      <c r="H14" s="15"/>
      <c r="I14" s="15"/>
      <c r="J14" s="20"/>
      <c r="K14" s="16">
        <f>-AD14*(1+'KF World'!H71)</f>
        <v>-94972.426716422968</v>
      </c>
      <c r="L14" s="16">
        <f>-AE14*(1+'KF World'!H72)</f>
        <v>-13423.693180651026</v>
      </c>
      <c r="M14" s="16"/>
      <c r="N14" s="23">
        <f t="shared" si="0"/>
        <v>-249663.01229077534</v>
      </c>
      <c r="O14" s="22" t="s">
        <v>74</v>
      </c>
      <c r="P14" s="66" t="s">
        <v>75</v>
      </c>
      <c r="Q14" s="70"/>
      <c r="R14" s="70"/>
      <c r="S14" s="24">
        <f t="shared" si="1"/>
        <v>241001.41615187415</v>
      </c>
      <c r="T14" s="37"/>
      <c r="U14" s="61"/>
      <c r="V14" s="16"/>
      <c r="W14" s="16"/>
      <c r="X14" s="16">
        <f>-E16</f>
        <v>141266.89239370133</v>
      </c>
      <c r="Y14" s="16"/>
      <c r="Z14" s="16"/>
      <c r="AA14" s="16"/>
      <c r="AB14" s="16"/>
      <c r="AC14" s="16"/>
      <c r="AD14" s="16">
        <f>-K16</f>
        <v>87181.943290940108</v>
      </c>
      <c r="AE14" s="16">
        <f>-L16</f>
        <v>12552.580467232718</v>
      </c>
      <c r="AF14" s="16"/>
      <c r="AG14" s="21">
        <f>-(N14+S14)</f>
        <v>8661.5961389011936</v>
      </c>
      <c r="AH14" s="21"/>
    </row>
    <row r="15" spans="1:34" x14ac:dyDescent="0.35"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23">
        <f t="shared" si="0"/>
        <v>0</v>
      </c>
      <c r="O15" s="22" t="s">
        <v>76</v>
      </c>
      <c r="P15" s="67" t="s">
        <v>77</v>
      </c>
      <c r="Q15" s="66"/>
      <c r="R15" s="66"/>
      <c r="S15" s="24">
        <f t="shared" si="1"/>
        <v>2022.8804317568322</v>
      </c>
      <c r="T15" s="37"/>
      <c r="U15" s="61"/>
      <c r="V15" s="14"/>
      <c r="W15" s="14"/>
      <c r="X15" s="14"/>
      <c r="Y15" s="14"/>
      <c r="Z15" s="14"/>
      <c r="AA15" s="14"/>
      <c r="AB15" s="14">
        <f>I16*-1</f>
        <v>2022.8804317568322</v>
      </c>
      <c r="AC15" s="14"/>
      <c r="AD15" s="14"/>
      <c r="AE15" s="14"/>
      <c r="AF15" s="14"/>
      <c r="AG15" s="14"/>
      <c r="AH15" s="14"/>
    </row>
    <row r="16" spans="1:34" x14ac:dyDescent="0.35">
      <c r="C16" s="14">
        <f t="shared" ref="C16:M16" si="4">SUM(C17:C19)</f>
        <v>-29646.021118606412</v>
      </c>
      <c r="D16" s="14">
        <f t="shared" si="4"/>
        <v>-103.5650213740422</v>
      </c>
      <c r="E16" s="14">
        <f t="shared" si="4"/>
        <v>-141266.89239370133</v>
      </c>
      <c r="F16" s="14">
        <f t="shared" si="4"/>
        <v>-61382.424460242939</v>
      </c>
      <c r="G16" s="14">
        <f t="shared" si="4"/>
        <v>0</v>
      </c>
      <c r="H16" s="14">
        <f t="shared" si="4"/>
        <v>0</v>
      </c>
      <c r="I16" s="14">
        <f t="shared" si="4"/>
        <v>-2022.8804317568322</v>
      </c>
      <c r="J16" s="14">
        <f t="shared" si="4"/>
        <v>-42299.021446685787</v>
      </c>
      <c r="K16" s="14">
        <f t="shared" si="4"/>
        <v>-87181.943290940108</v>
      </c>
      <c r="L16" s="14">
        <f t="shared" si="4"/>
        <v>-12552.580467232718</v>
      </c>
      <c r="M16" s="14">
        <f t="shared" si="4"/>
        <v>0</v>
      </c>
      <c r="N16" s="23">
        <f>'KF World'!H4</f>
        <v>-377724.84155199997</v>
      </c>
      <c r="O16" s="10" t="s">
        <v>78</v>
      </c>
      <c r="P16" s="71" t="s">
        <v>79</v>
      </c>
      <c r="Q16" s="71"/>
      <c r="R16" s="71"/>
      <c r="S16" s="24">
        <f t="shared" si="1"/>
        <v>254085.936916237</v>
      </c>
      <c r="T16" s="37"/>
      <c r="U16" s="61"/>
      <c r="V16" s="14"/>
      <c r="W16" s="14"/>
      <c r="X16" s="14"/>
      <c r="Y16" s="14"/>
      <c r="Z16" s="14"/>
      <c r="AA16" s="14"/>
      <c r="AB16" s="14"/>
      <c r="AC16" s="14"/>
      <c r="AD16" s="14"/>
      <c r="AE16" s="14"/>
      <c r="AF16" s="14">
        <f>SUM(AF17:AF19)</f>
        <v>254085.936916237</v>
      </c>
      <c r="AG16" s="14">
        <f t="shared" ref="AG16:AH16" si="5">SUM(AG17:AG19)</f>
        <v>122369.3917143032</v>
      </c>
      <c r="AH16" s="14">
        <f t="shared" si="5"/>
        <v>17051.454022422757</v>
      </c>
    </row>
    <row r="17" spans="3:34" x14ac:dyDescent="0.35">
      <c r="C17" s="25">
        <f>AF17*'KF World'!H14/T17*'KF World'!H138/'KF World'!H$138*-1</f>
        <v>-23524.280922607679</v>
      </c>
      <c r="D17" s="25">
        <f>AF17*'KF World'!H15/T17*'KF World'!H138/'KF World'!H$138*-1</f>
        <v>-103.5650213740422</v>
      </c>
      <c r="E17" s="25">
        <f>AF17*'KF World'!H16/T17*'KF World'!H138/'KF World'!H$138*-1</f>
        <v>-12031.604219116531</v>
      </c>
      <c r="F17" s="25">
        <f>AF17*'KF World'!H17/T17*'KF World'!H138/'KF World'!H$138*-1</f>
        <v>-27052.92306099883</v>
      </c>
      <c r="G17" s="25"/>
      <c r="H17" s="25"/>
      <c r="I17" s="25">
        <f>AF17*'KF World'!H18/T17*'KF World'!H141/'KF World'!H$141*-1</f>
        <v>-42.337380737708457</v>
      </c>
      <c r="J17" s="25">
        <f>AF17*'KF World'!H19*'KF World'!H138/T17/'KF World'!H$138*-1</f>
        <v>-8452.8527665236779</v>
      </c>
      <c r="K17" s="25">
        <f>AF17*'KF World'!H20*'KF World'!H140/T17/'KF World'!H$140*-1</f>
        <v>-40544.190090284705</v>
      </c>
      <c r="L17" s="25">
        <f>AF17*'KF World'!H21*'KF World'!H141/T17/'KF World'!H$141*-1</f>
        <v>-5869.6511513952164</v>
      </c>
      <c r="M17" s="25"/>
      <c r="N17" s="23">
        <f>SUM(C17:L17)</f>
        <v>-117621.40461303839</v>
      </c>
      <c r="O17" s="6" t="s">
        <v>80</v>
      </c>
      <c r="P17" s="64" t="s">
        <v>81</v>
      </c>
      <c r="Q17" s="69" t="s">
        <v>79</v>
      </c>
      <c r="R17" s="69"/>
      <c r="S17" s="24">
        <f t="shared" si="1"/>
        <v>101361.14991040001</v>
      </c>
      <c r="T17" s="37">
        <f>('KF World'!H14+'KF World'!H15+'KF World'!H16+'KF World'!H17+'KF World'!H19)*'KF World'!H138+('KF World'!H18+'KF World'!H21)*'KF World'!H141+'KF World'!H20*'KF World'!H140</f>
        <v>0.86175768980031453</v>
      </c>
      <c r="U17" s="61"/>
      <c r="V17" s="25"/>
      <c r="W17" s="25"/>
      <c r="X17" s="25"/>
      <c r="Y17" s="25"/>
      <c r="Z17" s="25"/>
      <c r="AA17" s="25"/>
      <c r="AB17" s="25"/>
      <c r="AC17" s="25"/>
      <c r="AD17" s="25"/>
      <c r="AE17" s="25"/>
      <c r="AF17" s="25">
        <f>'KF World'!H4*'KF World'!H6*(('KF World'!G14+'KF World'!G15+'KF World'!G16+'KF World'!G17+'KF World'!G19)*'KF World'!G138+('KF World'!G18+'KF World'!G21)*'KF World'!G141+'KF World'!G20*'KF World'!G140)*-1</f>
        <v>101361.14991040001</v>
      </c>
      <c r="AG17" s="25">
        <f>(S17+SUM(C17:M17))*-1</f>
        <v>16260.254702638384</v>
      </c>
      <c r="AH17" s="29">
        <f>-(C17*Emissionsfaktorer!$B$2+D17*Emissionsfaktorer!$B$3+E17*Emissionsfaktorer!$B$4+F17*Emissionsfaktorer!$B$5+G17*Emissionsfaktorer!$B$6+H17*Emissionsfaktorer!$B$7+I17*Emissionsfaktorer!$B$8+J17*Emissionsfaktorer!$B$9+K17*Emissionsfaktorer!$B$10+L17*Emissionsfaktorer!$B$11+M17*Emissionsfaktorer!$B$12)</f>
        <v>4691.2252227775198</v>
      </c>
    </row>
    <row r="18" spans="3:34" x14ac:dyDescent="0.35">
      <c r="C18" s="25">
        <f>AF18*'KF World'!H23/T18*'KF World'!H139/'KF World'!H$139*-1</f>
        <v>-2.2191628323461408</v>
      </c>
      <c r="D18" s="25"/>
      <c r="E18" s="25">
        <f>AF18*'KF World'!H24/T18*'KF World'!H139/'KF World'!H$139*-1</f>
        <v>-110979.28647070956</v>
      </c>
      <c r="F18" s="25">
        <f>AF18*'KF World'!H25/T18*'KF World'!H139/'KF World'!H$139*-1</f>
        <v>-4906.2340543426226</v>
      </c>
      <c r="G18" s="25"/>
      <c r="H18" s="25"/>
      <c r="I18" s="25">
        <f>AF18*'KF World'!H26/T18*'KF World'!H141/'KF World'!H$141*-1</f>
        <v>0</v>
      </c>
      <c r="J18" s="25">
        <f>AF18*'KF World'!H27/T18*'KF World'!H139/'KF World'!H$139*-1</f>
        <v>-3753.3998984372215</v>
      </c>
      <c r="K18" s="25">
        <f>AF18*'KF World'!H28/T18*'KF World'!H140/'KF World'!H$140*-1</f>
        <v>-1403.7251689510256</v>
      </c>
      <c r="L18" s="25">
        <f>AF18*'KF World'!H29/T18*'KF World'!H141/'KF World'!H$141*-1</f>
        <v>0</v>
      </c>
      <c r="M18" s="25"/>
      <c r="N18" s="23">
        <f>SUM(C18:L18)</f>
        <v>-121044.86475527278</v>
      </c>
      <c r="O18" s="6" t="s">
        <v>82</v>
      </c>
      <c r="P18" s="64" t="s">
        <v>83</v>
      </c>
      <c r="Q18" s="69" t="s">
        <v>79</v>
      </c>
      <c r="R18" s="69"/>
      <c r="S18" s="24">
        <f t="shared" si="1"/>
        <v>37225.880786400005</v>
      </c>
      <c r="T18" s="37">
        <f>('KF World'!H23+'KF World'!H24+'KF World'!H25+'KF World'!H27)*'KF World'!H139+('KF World'!H26+'KF World'!H29)*'KF World'!H141+'KF World'!H28*'KF World'!H140</f>
        <v>0.30753787747760214</v>
      </c>
      <c r="U18" s="61"/>
      <c r="V18" s="25"/>
      <c r="W18" s="25"/>
      <c r="X18" s="25"/>
      <c r="Y18" s="25"/>
      <c r="Z18" s="25"/>
      <c r="AA18" s="25"/>
      <c r="AB18" s="25"/>
      <c r="AC18" s="25"/>
      <c r="AD18" s="25"/>
      <c r="AE18" s="25"/>
      <c r="AF18" s="25">
        <f>'KF World'!H4*'KF World'!H7*-1*(('KF World'!G23+'KF World'!G24+'KF World'!G25+'KF World'!G27)*'KF World'!G139+('KF World'!G26+'KF World'!G29)*'KF World'!G141+'KF World'!G28*'KF World'!G140)</f>
        <v>37225.880786400005</v>
      </c>
      <c r="AG18" s="25">
        <f>(S18+SUM(C18:M18))*-1</f>
        <v>83818.983968872781</v>
      </c>
      <c r="AH18" s="29">
        <f>-(C18*Emissionsfaktorer!$B$2+D18*Emissionsfaktorer!$B$3+E18*Emissionsfaktorer!$B$4+F18*Emissionsfaktorer!$B$5+G18*Emissionsfaktorer!$B$6+H18*Emissionsfaktorer!$B$7+I18*Emissionsfaktorer!$B$8+J18*Emissionsfaktorer!$B$9+K18*Emissionsfaktorer!$B$10+L18*Emissionsfaktorer!$B$11+M18*Emissionsfaktorer!$B$12)</f>
        <v>8714.291933340528</v>
      </c>
    </row>
    <row r="19" spans="3:34" x14ac:dyDescent="0.35">
      <c r="C19" s="25">
        <f>SUM(C20:C24)</f>
        <v>-6119.5210331663866</v>
      </c>
      <c r="D19" s="25">
        <f t="shared" ref="D19:M19" si="6">SUM(D20:D24)</f>
        <v>0</v>
      </c>
      <c r="E19" s="25">
        <f t="shared" si="6"/>
        <v>-18256.001703875248</v>
      </c>
      <c r="F19" s="25">
        <f t="shared" si="6"/>
        <v>-29423.267344901491</v>
      </c>
      <c r="G19" s="25">
        <f t="shared" si="6"/>
        <v>0</v>
      </c>
      <c r="H19" s="25">
        <f t="shared" si="6"/>
        <v>0</v>
      </c>
      <c r="I19" s="25">
        <f t="shared" si="6"/>
        <v>-1980.5430510191238</v>
      </c>
      <c r="J19" s="25">
        <f t="shared" si="6"/>
        <v>-30092.768781724892</v>
      </c>
      <c r="K19" s="25">
        <f t="shared" si="6"/>
        <v>-45234.028031704373</v>
      </c>
      <c r="L19" s="25">
        <f t="shared" si="6"/>
        <v>-6682.9293158375003</v>
      </c>
      <c r="M19" s="25">
        <f t="shared" si="6"/>
        <v>0</v>
      </c>
      <c r="N19" s="23">
        <f>SUM(N20:N24)</f>
        <v>-137789.05926222901</v>
      </c>
      <c r="O19" s="6" t="s">
        <v>84</v>
      </c>
      <c r="P19" s="64" t="s">
        <v>85</v>
      </c>
      <c r="Q19" s="69" t="s">
        <v>79</v>
      </c>
      <c r="R19" s="69"/>
      <c r="S19" s="24">
        <f t="shared" si="1"/>
        <v>115498.90621943699</v>
      </c>
      <c r="T19" s="37">
        <v>0.8</v>
      </c>
      <c r="U19" s="61"/>
      <c r="V19" s="25">
        <f>SUM(V20:V24)</f>
        <v>0</v>
      </c>
      <c r="W19" s="25">
        <f t="shared" ref="W19:AH19" si="7">SUM(W20:W24)</f>
        <v>0</v>
      </c>
      <c r="X19" s="25">
        <f t="shared" si="7"/>
        <v>0</v>
      </c>
      <c r="Y19" s="25">
        <f t="shared" si="7"/>
        <v>0</v>
      </c>
      <c r="Z19" s="25">
        <f t="shared" si="7"/>
        <v>0</v>
      </c>
      <c r="AA19" s="25">
        <f t="shared" si="7"/>
        <v>0</v>
      </c>
      <c r="AB19" s="25">
        <f t="shared" si="7"/>
        <v>0</v>
      </c>
      <c r="AC19" s="25">
        <f t="shared" si="7"/>
        <v>0</v>
      </c>
      <c r="AD19" s="25">
        <f t="shared" si="7"/>
        <v>0</v>
      </c>
      <c r="AE19" s="25">
        <f t="shared" si="7"/>
        <v>0</v>
      </c>
      <c r="AF19" s="25">
        <f t="shared" si="7"/>
        <v>115498.90621943699</v>
      </c>
      <c r="AG19" s="25">
        <f t="shared" si="7"/>
        <v>22290.15304279203</v>
      </c>
      <c r="AH19" s="25">
        <f t="shared" si="7"/>
        <v>3645.9368663047107</v>
      </c>
    </row>
    <row r="20" spans="3:34" x14ac:dyDescent="0.35">
      <c r="C20" s="92">
        <f>AF20*'KF World'!H$31/T20*'KF World'!H$138/'KF World'!H$138*-1</f>
        <v>-3135.2495699172746</v>
      </c>
      <c r="D20" s="92"/>
      <c r="E20" s="92">
        <f>AF20*'KF World'!H32/T20*'KF World'!H$139/'KF World'!H$139*-1</f>
        <v>-9140.5314764778414</v>
      </c>
      <c r="F20" s="92">
        <f>AF20*'KF World'!H$33/T20*'KF World'!H$139/'KF World'!H$139*-1</f>
        <v>-20162.623040483268</v>
      </c>
      <c r="G20" s="92"/>
      <c r="H20" s="92"/>
      <c r="I20" s="92">
        <f>AF20*'KF World'!H$34/T20*'KF World'!H$141/'KF World'!H$141*-1</f>
        <v>-1464.3893746907174</v>
      </c>
      <c r="J20" s="92">
        <f>AF20*'KF World'!H$35/T20*'KF World'!H$139/'KF World'!H$139*-1</f>
        <v>-28211.467793576317</v>
      </c>
      <c r="K20" s="92">
        <f>AF20*'KF World'!H$36/T20*'KF World'!H$140/'KF World'!H$140*-1</f>
        <v>-21630.906510957753</v>
      </c>
      <c r="L20" s="92">
        <f>AF20*'KF World'!H$37/T20*'KF World'!H$141/'KF World'!H$141*-1</f>
        <v>-4571.4590901726606</v>
      </c>
      <c r="M20" s="92"/>
      <c r="N20" s="23">
        <f>SUM(C20:L20)</f>
        <v>-88316.626856275834</v>
      </c>
      <c r="O20" s="84" t="s">
        <v>86</v>
      </c>
      <c r="P20" s="85" t="s">
        <v>87</v>
      </c>
      <c r="Q20" s="86" t="s">
        <v>85</v>
      </c>
      <c r="R20" s="86"/>
      <c r="S20" s="24">
        <f t="shared" si="1"/>
        <v>75105.107154636993</v>
      </c>
      <c r="T20" s="37">
        <f>('KF World'!H31+'KF World'!H32+'KF World'!H33+'KF World'!H35)*'KF World'!H138+('KF World'!H34+'KF World'!H37)*'KF World'!H141+'KF World'!H36*'KF World'!H140</f>
        <v>0.85040733356880893</v>
      </c>
      <c r="U20" s="61"/>
      <c r="V20" s="92"/>
      <c r="W20" s="92"/>
      <c r="X20" s="92"/>
      <c r="Y20" s="92"/>
      <c r="Z20" s="92"/>
      <c r="AA20" s="92"/>
      <c r="AB20" s="92"/>
      <c r="AC20" s="92"/>
      <c r="AD20" s="92"/>
      <c r="AE20" s="92"/>
      <c r="AF20" s="92">
        <f>'KF World'!H4*'KF World'!H8*(('KF World'!G31+'KF World'!G32+'KF World'!G33+'KF World'!G35)*'KF World'!G138+('KF World'!G34+'KF World'!G37)*'KF World'!G141+'KF World'!G36*'KF World'!G140)*-1</f>
        <v>75105.107154636993</v>
      </c>
      <c r="AG20" s="92">
        <f>(N20+AF20)*-1</f>
        <v>13211.519701638841</v>
      </c>
      <c r="AH20" s="87">
        <f>-(C20*Emissionsfaktorer!$B$2+D20*Emissionsfaktorer!$B$3+E20*Emissionsfaktorer!$B$4+F20*Emissionsfaktorer!$B$5+G20*Emissionsfaktorer!$B$6+H20*Emissionsfaktorer!$B$7+I20*Emissionsfaktorer!$B$8+J20*Emissionsfaktorer!$B$9+K20*Emissionsfaktorer!$B$10+L20*Emissionsfaktorer!$B$11+M20*Emissionsfaktorer!$B$12)</f>
        <v>2141.7986146620033</v>
      </c>
    </row>
    <row r="21" spans="3:34" x14ac:dyDescent="0.35">
      <c r="C21" s="92">
        <f>AF21*'KF World'!H$39/T21*'KF World'!H$138/'KF World'!H$138*-1</f>
        <v>-1267.2544044315143</v>
      </c>
      <c r="D21" s="92"/>
      <c r="E21" s="92">
        <f>AF21*'KF World'!H40/T21*'KF World'!H$139/'KF World'!H$139*-1</f>
        <v>-3315.4205763385858</v>
      </c>
      <c r="F21" s="92">
        <f>AF21*'KF World'!H$41/T21*'KF World'!H$139/'KF World'!H$139*-1</f>
        <v>-8674.9457459544774</v>
      </c>
      <c r="G21" s="92"/>
      <c r="H21" s="92"/>
      <c r="I21" s="92">
        <f>AF21*'KF World'!H$42/T21*'KF World'!H$141/'KF World'!H$141*-1</f>
        <v>-361.94108944014573</v>
      </c>
      <c r="J21" s="92">
        <f>AF21*'KF World'!H$43/T21*'KF World'!H$139/'KF World'!H$139*-1</f>
        <v>-1290.618949538826</v>
      </c>
      <c r="K21" s="92">
        <f>AF21*'KF World'!H$44/T21*'KF World'!H$140/'KF World'!H$140*-1</f>
        <v>-17277.536771576641</v>
      </c>
      <c r="L21" s="92">
        <f>AF21*'KF World'!H$45/T21*'KF World'!H$141/'KF World'!H$141*-1</f>
        <v>-1670.7324629513248</v>
      </c>
      <c r="M21" s="92"/>
      <c r="N21" s="23">
        <f t="shared" ref="N21:N24" si="8">SUM(C21:L21)</f>
        <v>-33858.450000231518</v>
      </c>
      <c r="O21" s="84" t="s">
        <v>88</v>
      </c>
      <c r="P21" s="85" t="s">
        <v>89</v>
      </c>
      <c r="Q21" s="86" t="s">
        <v>85</v>
      </c>
      <c r="R21" s="86"/>
      <c r="S21" s="24">
        <f t="shared" si="1"/>
        <v>30084.925226399999</v>
      </c>
      <c r="T21" s="37">
        <f>('KF World'!H39+'KF World'!H40+'KF World'!H41+'KF World'!H43)*'KF World'!H138+('KF World'!H42+'KF World'!H45)*'KF World'!H141+'KF World'!H44*'KF World'!H140</f>
        <v>0.88854998460337942</v>
      </c>
      <c r="U21" s="61"/>
      <c r="V21" s="92"/>
      <c r="W21" s="92"/>
      <c r="X21" s="92"/>
      <c r="Y21" s="92"/>
      <c r="Z21" s="92"/>
      <c r="AA21" s="92"/>
      <c r="AB21" s="92"/>
      <c r="AC21" s="92"/>
      <c r="AD21" s="92"/>
      <c r="AE21" s="92"/>
      <c r="AF21" s="92">
        <f>'KF World'!H4*'KF World'!H9*(('KF World'!G39+'KF World'!G40+'KF World'!G41+'KF World'!G43)*'KF World'!G138+('KF World'!G42+'KF World'!G45)*'KF World'!G141+'KF World'!G44*'KF World'!G140)*-1</f>
        <v>30084.925226399999</v>
      </c>
      <c r="AG21" s="92">
        <f t="shared" ref="AG21:AG24" si="9">(N21+AF21)*-1</f>
        <v>3773.5247738315193</v>
      </c>
      <c r="AH21" s="87">
        <f>-(C21*Emissionsfaktorer!$B$2+D21*Emissionsfaktorer!$B$3+E21*Emissionsfaktorer!$B$4+F21*Emissionsfaktorer!$B$5+G21*Emissionsfaktorer!$B$6+H21*Emissionsfaktorer!$B$7+I21*Emissionsfaktorer!$B$8+J21*Emissionsfaktorer!$B$9+K21*Emissionsfaktorer!$B$10+L21*Emissionsfaktorer!$B$11+M21*Emissionsfaktorer!$B$12)</f>
        <v>866.83303974213163</v>
      </c>
    </row>
    <row r="22" spans="3:34" x14ac:dyDescent="0.35">
      <c r="C22" s="92">
        <f>AF22*'KF World'!H$47/T22*'KF World'!H$138/'KF World'!H$138*-1</f>
        <v>-653.23929720806098</v>
      </c>
      <c r="D22" s="92"/>
      <c r="E22" s="92">
        <f>AF22*'KF World'!H48/T22*'KF World'!H$139/'KF World'!H$139*-1</f>
        <v>-4650.3469538184527</v>
      </c>
      <c r="F22" s="92">
        <f>AF22*'KF World'!H$49/T22*'KF World'!H$139/'KF World'!H$139*-1</f>
        <v>-433.28762563355014</v>
      </c>
      <c r="G22" s="92"/>
      <c r="H22" s="92"/>
      <c r="I22" s="92">
        <f>AF22*'KF World'!H$50/T22*'KF World'!H$141/'KF World'!H$141*-1</f>
        <v>-98.272715245645756</v>
      </c>
      <c r="J22" s="92">
        <f>AF22*'KF World'!H$51/T22*'KF World'!H$139/'KF World'!H$139*-1</f>
        <v>-502.66891628631328</v>
      </c>
      <c r="K22" s="92">
        <f>AF22*'KF World'!H$52/T22*'KF World'!H$140/'KF World'!H$140*-1</f>
        <v>-2465.1503354802508</v>
      </c>
      <c r="L22" s="92">
        <f>AF22*'KF World'!H$53/T22*'KF World'!H$141/'KF World'!H$141*-1</f>
        <v>-187.66864496420294</v>
      </c>
      <c r="M22" s="92"/>
      <c r="N22" s="23">
        <f t="shared" si="8"/>
        <v>-8990.634488636475</v>
      </c>
      <c r="O22" s="84" t="s">
        <v>90</v>
      </c>
      <c r="P22" s="85" t="s">
        <v>91</v>
      </c>
      <c r="Q22" s="86" t="s">
        <v>85</v>
      </c>
      <c r="R22" s="86"/>
      <c r="S22" s="24">
        <f t="shared" si="1"/>
        <v>4499.6970167999998</v>
      </c>
      <c r="T22" s="37">
        <f>('KF World'!H47+'KF World'!H48+'KF World'!H49+'KF World'!H51)*'KF World'!H139+('KF World'!H50+'KF World'!H53)*'KF World'!H141+'KF World'!H52*'KF World'!H140</f>
        <v>0.50048714831943142</v>
      </c>
      <c r="U22" s="61"/>
      <c r="V22" s="92"/>
      <c r="W22" s="92"/>
      <c r="X22" s="92"/>
      <c r="Y22" s="92"/>
      <c r="Z22" s="92"/>
      <c r="AA22" s="92"/>
      <c r="AB22" s="92"/>
      <c r="AC22" s="92"/>
      <c r="AD22" s="92"/>
      <c r="AE22" s="92"/>
      <c r="AF22" s="92">
        <f>(('KF World'!G47+'KF World'!G48+'KF World'!G49+'KF World'!G51)*'KF World'!G139+('KF World'!G50+'KF World'!G53)*'KF World'!G141+'KF World'!G52*'KF World'!G140)*'KF World'!H10*'KF World'!H4*-1</f>
        <v>4499.6970167999998</v>
      </c>
      <c r="AG22" s="92">
        <f t="shared" si="9"/>
        <v>4490.9374718364752</v>
      </c>
      <c r="AH22" s="87">
        <f>-(C22*Emissionsfaktorer!$B$2+D22*Emissionsfaktorer!$B$3+E22*Emissionsfaktorer!$B$4+F22*Emissionsfaktorer!$B$5+G22*Emissionsfaktorer!$B$6+H22*Emissionsfaktorer!$B$7+I22*Emissionsfaktorer!$B$8+J22*Emissionsfaktorer!$B$9+K22*Emissionsfaktorer!$B$10+L22*Emissionsfaktorer!$B$11+M22*Emissionsfaktorer!$B$12)</f>
        <v>440.18149638608054</v>
      </c>
    </row>
    <row r="23" spans="3:34" x14ac:dyDescent="0.35">
      <c r="C23" s="92">
        <f>AF23*'KF World'!H$55/T23*'KF World'!H$138/'KF World'!H$138*-1</f>
        <v>-8.3744000000000013E-2</v>
      </c>
      <c r="D23" s="92"/>
      <c r="E23" s="92">
        <f>AF23*'KF World'!H56/T23*'KF World'!H$139/'KF World'!H$139*-1</f>
        <v>-257.5546720000001</v>
      </c>
      <c r="F23" s="92">
        <f>AF23*'KF World'!H$57/T23*'KF World'!H$139/'KF World'!H$139*-1</f>
        <v>-2.0936000000000003</v>
      </c>
      <c r="G23" s="92"/>
      <c r="H23" s="92"/>
      <c r="I23" s="92">
        <f>AF23*'KF World'!H$58/T23*'KF World'!H$141/'KF World'!H$141*-1</f>
        <v>-2.4285760000000005</v>
      </c>
      <c r="J23" s="92">
        <f>AF23*'KF World'!H$59/T23*'KF World'!H$139/'KF World'!H$139*-1</f>
        <v>-1.004928</v>
      </c>
      <c r="K23" s="92">
        <f>AF23*'KF World'!H$60/T23*'KF World'!H$140/'KF World'!H$140*-1</f>
        <v>-27.844879999999979</v>
      </c>
      <c r="L23" s="92">
        <f>AF23*'KF World'!H$61/T23*'KF World'!H$141/'KF World'!H$141*-1</f>
        <v>-2.3029600000000006</v>
      </c>
      <c r="M23" s="92"/>
      <c r="N23" s="23">
        <f t="shared" si="8"/>
        <v>-293.3133600000001</v>
      </c>
      <c r="O23" s="84" t="s">
        <v>92</v>
      </c>
      <c r="P23" s="85" t="s">
        <v>93</v>
      </c>
      <c r="Q23" s="86" t="s">
        <v>85</v>
      </c>
      <c r="R23" s="86"/>
      <c r="S23" s="24">
        <f t="shared" si="1"/>
        <v>109.4052552</v>
      </c>
      <c r="T23" s="37">
        <f>('KF World'!H55+'KF World'!H56+'KF World'!H57+'KF World'!H59)*'KF World'!H139+('KF World'!H58+'KF World'!H61)*'KF World'!H141+'KF World'!H60*'KF World'!H140</f>
        <v>0.37299785867237678</v>
      </c>
      <c r="U23" s="61"/>
      <c r="V23" s="92"/>
      <c r="W23" s="92"/>
      <c r="X23" s="92"/>
      <c r="Y23" s="92"/>
      <c r="Z23" s="92"/>
      <c r="AA23" s="92"/>
      <c r="AB23" s="92"/>
      <c r="AC23" s="92"/>
      <c r="AD23" s="92"/>
      <c r="AE23" s="92"/>
      <c r="AF23" s="92">
        <f>(('KF World'!G55+'KF World'!G56+'KF World'!G57+'KF World'!G59)*'KF World'!G139+('KF World'!G58+'KF World'!G61)*'KF World'!G141+'KF World'!G60*'KF World'!G140)*'KF World'!H4*'KF World'!H11*-1</f>
        <v>109.4052552</v>
      </c>
      <c r="AG23" s="92">
        <f t="shared" si="9"/>
        <v>183.9081048000001</v>
      </c>
      <c r="AH23" s="87">
        <f>-(C23*Emissionsfaktorer!$B$2+D23*Emissionsfaktorer!$B$3+E23*Emissionsfaktorer!$B$4+F23*Emissionsfaktorer!$B$5+G23*Emissionsfaktorer!$B$6+H23*Emissionsfaktorer!$B$7+I23*Emissionsfaktorer!$B$8+J23*Emissionsfaktorer!$B$9+K23*Emissionsfaktorer!$B$10+L23*Emissionsfaktorer!$B$11+M23*Emissionsfaktorer!$B$12)</f>
        <v>19.701445952000004</v>
      </c>
    </row>
    <row r="24" spans="3:34" x14ac:dyDescent="0.35">
      <c r="C24" s="92">
        <f>AF24*'KF World'!H$63/T24*'KF World'!H$138/'KF World'!H$138*-1</f>
        <v>-1063.6940176095375</v>
      </c>
      <c r="D24" s="92"/>
      <c r="E24" s="92">
        <f>AF24*'KF World'!H64/T24*'KF World'!H$139/'KF World'!H$139*-1</f>
        <v>-892.14802524037225</v>
      </c>
      <c r="F24" s="92">
        <f>AF24*'KF World'!H$65/T24*'KF World'!H$139/'KF World'!H$139*-1</f>
        <v>-150.31733283019366</v>
      </c>
      <c r="G24" s="92"/>
      <c r="H24" s="92"/>
      <c r="I24" s="92">
        <f>AF24*'KF World'!H$66/T24*'KF World'!H$141/'KF World'!H$141*-1</f>
        <v>-53.511295642614911</v>
      </c>
      <c r="J24" s="92">
        <f>AF24*'KF World'!H$67/T24*'KF World'!H$139/'KF World'!H$139*-1</f>
        <v>-87.008194323438005</v>
      </c>
      <c r="K24" s="92">
        <f>AF24*'KF World'!H$68/T24*'KF World'!H$140/'KF World'!H$140*-1</f>
        <v>-3832.589533689727</v>
      </c>
      <c r="L24" s="92">
        <f>AF24*'KF World'!H$69/T24*'KF World'!H$141/'KF World'!H$141*-1</f>
        <v>-250.76615774931193</v>
      </c>
      <c r="M24" s="92"/>
      <c r="N24" s="23">
        <f t="shared" si="8"/>
        <v>-6330.034557085196</v>
      </c>
      <c r="O24" s="84" t="s">
        <v>94</v>
      </c>
      <c r="P24" s="85" t="s">
        <v>95</v>
      </c>
      <c r="Q24" s="86" t="s">
        <v>85</v>
      </c>
      <c r="R24" s="86"/>
      <c r="S24" s="24">
        <f t="shared" si="1"/>
        <v>5699.7715664000007</v>
      </c>
      <c r="T24" s="37">
        <f>('KF World'!H63+'KF World'!H64+'KF World'!H65+'KF World'!H67)*'KF World'!H138+('KF World'!H66+'KF World'!H69)*'KF World'!H141+'KF World'!H68*'KF World'!H140</f>
        <v>0.90043293049960649</v>
      </c>
      <c r="U24" s="61"/>
      <c r="V24" s="92"/>
      <c r="W24" s="92"/>
      <c r="X24" s="92"/>
      <c r="Y24" s="92"/>
      <c r="Z24" s="92"/>
      <c r="AA24" s="92"/>
      <c r="AB24" s="92"/>
      <c r="AC24" s="92"/>
      <c r="AD24" s="92"/>
      <c r="AE24" s="92"/>
      <c r="AF24" s="92">
        <f>(('KF World'!G63+'KF World'!G64+'KF World'!G65+'KF World'!G67)*'KF World'!G138+('KF World'!G66+'KF World'!G69)*'KF World'!G141+'KF World'!G68*'KF World'!G140)*'KF World'!H4*'KF World'!H12*-1</f>
        <v>5699.7715664000007</v>
      </c>
      <c r="AG24" s="92">
        <f t="shared" si="9"/>
        <v>630.26299068519529</v>
      </c>
      <c r="AH24" s="87">
        <f>-(C24*Emissionsfaktorer!$B$2+D24*Emissionsfaktorer!$B$3+E24*Emissionsfaktorer!$B$4+F24*Emissionsfaktorer!$B$5+G24*Emissionsfaktorer!$B$6+H24*Emissionsfaktorer!$B$7+I24*Emissionsfaktorer!$B$8+J24*Emissionsfaktorer!$B$9+K24*Emissionsfaktorer!$B$10+L24*Emissionsfaktorer!$B$11+M24*Emissionsfaktorer!$B$12)</f>
        <v>177.42226956249539</v>
      </c>
    </row>
    <row r="25" spans="3:34" x14ac:dyDescent="0.35"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23">
        <f>N16</f>
        <v>-377724.84155199997</v>
      </c>
      <c r="O25" s="10" t="s">
        <v>11</v>
      </c>
      <c r="P25" s="71" t="s">
        <v>96</v>
      </c>
      <c r="Q25" s="71"/>
      <c r="R25" s="71"/>
      <c r="S25" s="24">
        <f t="shared" si="1"/>
        <v>254085.936916237</v>
      </c>
      <c r="T25" s="37">
        <f>AF25/N25*-1</f>
        <v>0.67267467999257324</v>
      </c>
      <c r="U25" s="61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>
        <f>AF16</f>
        <v>254085.936916237</v>
      </c>
      <c r="AG25" s="14">
        <f>-(S25+N25)</f>
        <v>123638.90463576297</v>
      </c>
      <c r="AH25" s="14"/>
    </row>
    <row r="28" spans="3:34" x14ac:dyDescent="0.35">
      <c r="X28" s="95"/>
    </row>
    <row r="29" spans="3:34" x14ac:dyDescent="0.35">
      <c r="X29" s="95"/>
    </row>
    <row r="30" spans="3:34" x14ac:dyDescent="0.35">
      <c r="X30" s="95"/>
    </row>
    <row r="31" spans="3:34" x14ac:dyDescent="0.35">
      <c r="E31" s="40"/>
    </row>
  </sheetData>
  <pageMargins left="0.7" right="0.7" top="0.75" bottom="0.75" header="0.3" footer="0.3"/>
  <pageSetup paperSize="9" orientation="portrait" horizontalDpi="4294967293" verticalDpi="4294967293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Ark2"/>
  <dimension ref="A1:L32"/>
  <sheetViews>
    <sheetView workbookViewId="0">
      <selection activeCell="A3" sqref="A3:L30"/>
    </sheetView>
  </sheetViews>
  <sheetFormatPr defaultRowHeight="14.5" x14ac:dyDescent="0.35"/>
  <cols>
    <col min="1" max="1" width="30" customWidth="1"/>
    <col min="2" max="2" width="11.54296875" customWidth="1"/>
    <col min="3" max="3" width="12" customWidth="1"/>
    <col min="4" max="4" width="14.54296875" customWidth="1"/>
    <col min="5" max="5" width="14.1796875" customWidth="1"/>
    <col min="8" max="8" width="22.81640625" customWidth="1"/>
    <col min="9" max="9" width="21.81640625" customWidth="1"/>
    <col min="10" max="10" width="13.81640625" customWidth="1"/>
    <col min="11" max="11" width="12.26953125" customWidth="1"/>
    <col min="12" max="12" width="11.81640625" customWidth="1"/>
  </cols>
  <sheetData>
    <row r="1" spans="1:12" x14ac:dyDescent="0.35">
      <c r="B1" t="s">
        <v>214</v>
      </c>
      <c r="C1" t="s">
        <v>2</v>
      </c>
      <c r="D1" t="s">
        <v>215</v>
      </c>
      <c r="E1" t="s">
        <v>216</v>
      </c>
      <c r="F1" t="s">
        <v>5</v>
      </c>
      <c r="G1" t="s">
        <v>6</v>
      </c>
      <c r="H1" t="s">
        <v>217</v>
      </c>
      <c r="I1" t="s">
        <v>8</v>
      </c>
      <c r="J1" t="s">
        <v>9</v>
      </c>
      <c r="K1" t="s">
        <v>10</v>
      </c>
      <c r="L1" t="s">
        <v>218</v>
      </c>
    </row>
    <row r="2" spans="1:12" x14ac:dyDescent="0.35">
      <c r="B2" t="s">
        <v>219</v>
      </c>
      <c r="C2" t="s">
        <v>219</v>
      </c>
      <c r="D2" t="s">
        <v>219</v>
      </c>
      <c r="E2" t="s">
        <v>219</v>
      </c>
      <c r="F2" t="s">
        <v>219</v>
      </c>
      <c r="G2" t="s">
        <v>219</v>
      </c>
      <c r="H2" t="s">
        <v>219</v>
      </c>
      <c r="I2" t="s">
        <v>219</v>
      </c>
      <c r="J2" t="s">
        <v>219</v>
      </c>
      <c r="K2" t="s">
        <v>219</v>
      </c>
      <c r="L2" t="s">
        <v>219</v>
      </c>
    </row>
    <row r="3" spans="1:12" x14ac:dyDescent="0.35">
      <c r="A3" t="s">
        <v>17</v>
      </c>
      <c r="B3" s="7">
        <v>761</v>
      </c>
      <c r="C3" s="7">
        <v>1157897</v>
      </c>
      <c r="D3" s="7"/>
      <c r="E3" s="7">
        <v>164444</v>
      </c>
      <c r="F3" s="7"/>
      <c r="G3" s="7">
        <v>687</v>
      </c>
      <c r="H3" s="7">
        <v>72</v>
      </c>
      <c r="I3" s="7">
        <v>398</v>
      </c>
      <c r="J3" s="7"/>
      <c r="K3" s="7"/>
      <c r="L3" s="7">
        <v>1324260</v>
      </c>
    </row>
    <row r="4" spans="1:12" x14ac:dyDescent="0.35">
      <c r="A4" t="s">
        <v>220</v>
      </c>
      <c r="B4" s="7">
        <v>838</v>
      </c>
      <c r="C4" s="7">
        <v>8781</v>
      </c>
      <c r="D4" s="7">
        <v>19820</v>
      </c>
      <c r="E4" s="7">
        <v>2781</v>
      </c>
      <c r="F4" s="7"/>
      <c r="G4" s="7"/>
      <c r="H4" s="7"/>
      <c r="I4" s="7">
        <v>23</v>
      </c>
      <c r="J4" s="7">
        <v>152</v>
      </c>
      <c r="K4" s="7"/>
      <c r="L4" s="7">
        <v>32397</v>
      </c>
    </row>
    <row r="5" spans="1:12" x14ac:dyDescent="0.35">
      <c r="A5" t="s">
        <v>221</v>
      </c>
      <c r="B5" s="7">
        <v>-41</v>
      </c>
      <c r="C5" s="7">
        <v>-814059</v>
      </c>
      <c r="D5" s="7">
        <v>-150253</v>
      </c>
      <c r="E5" s="7">
        <v>-21809</v>
      </c>
      <c r="F5" s="7"/>
      <c r="G5" s="7"/>
      <c r="H5" s="7"/>
      <c r="I5" s="7"/>
      <c r="J5" s="7">
        <v>-86</v>
      </c>
      <c r="K5" s="7"/>
      <c r="L5" s="7">
        <v>-986246</v>
      </c>
    </row>
    <row r="6" spans="1:12" x14ac:dyDescent="0.35">
      <c r="A6" t="s">
        <v>222</v>
      </c>
      <c r="B6" s="7"/>
      <c r="C6" s="7"/>
      <c r="D6" s="7">
        <v>-14029</v>
      </c>
      <c r="E6" s="7"/>
      <c r="F6" s="7"/>
      <c r="G6" s="7"/>
      <c r="H6" s="7"/>
      <c r="I6" s="7"/>
      <c r="J6" s="7"/>
      <c r="K6" s="7"/>
      <c r="L6" s="7">
        <v>-14029</v>
      </c>
    </row>
    <row r="7" spans="1:12" x14ac:dyDescent="0.35">
      <c r="A7" t="s">
        <v>223</v>
      </c>
      <c r="B7" s="7"/>
      <c r="C7" s="7"/>
      <c r="D7" s="7">
        <v>-8594</v>
      </c>
      <c r="E7" s="7"/>
      <c r="F7" s="7"/>
      <c r="G7" s="7"/>
      <c r="H7" s="7"/>
      <c r="I7" s="7"/>
      <c r="J7" s="7"/>
      <c r="K7" s="7"/>
      <c r="L7" s="7">
        <v>-8594</v>
      </c>
    </row>
    <row r="8" spans="1:12" x14ac:dyDescent="0.35">
      <c r="A8" t="s">
        <v>224</v>
      </c>
      <c r="B8" s="7">
        <v>35</v>
      </c>
      <c r="C8" s="7">
        <v>4884</v>
      </c>
      <c r="D8" s="7">
        <v>528</v>
      </c>
      <c r="E8" s="7"/>
      <c r="F8" s="7"/>
      <c r="G8" s="7"/>
      <c r="H8" s="7"/>
      <c r="I8" s="7"/>
      <c r="J8" s="7"/>
      <c r="K8" s="7"/>
      <c r="L8" s="7">
        <v>5448</v>
      </c>
    </row>
    <row r="9" spans="1:12" x14ac:dyDescent="0.35">
      <c r="A9" t="s">
        <v>225</v>
      </c>
      <c r="B9" s="7">
        <v>1593</v>
      </c>
      <c r="C9" s="7">
        <v>357503</v>
      </c>
      <c r="D9" s="7">
        <v>-152525</v>
      </c>
      <c r="E9" s="7">
        <v>145416</v>
      </c>
      <c r="F9" s="7"/>
      <c r="G9" s="7">
        <v>687</v>
      </c>
      <c r="H9" s="7">
        <v>72</v>
      </c>
      <c r="I9" s="7">
        <v>422</v>
      </c>
      <c r="J9" s="7">
        <v>65</v>
      </c>
      <c r="K9" s="7"/>
      <c r="L9" s="7">
        <v>353238</v>
      </c>
    </row>
    <row r="10" spans="1:12" x14ac:dyDescent="0.35">
      <c r="A10" t="s">
        <v>226</v>
      </c>
      <c r="B10" s="7"/>
      <c r="C10" s="7">
        <v>-54589</v>
      </c>
      <c r="D10" s="7">
        <v>58001</v>
      </c>
      <c r="E10" s="7"/>
      <c r="F10" s="7"/>
      <c r="G10" s="7"/>
      <c r="H10" s="7"/>
      <c r="I10" s="7"/>
      <c r="J10" s="7"/>
      <c r="K10" s="7"/>
      <c r="L10" s="7">
        <v>3412</v>
      </c>
    </row>
    <row r="11" spans="1:12" x14ac:dyDescent="0.35">
      <c r="A11" t="s">
        <v>227</v>
      </c>
      <c r="B11" s="7">
        <v>-170</v>
      </c>
      <c r="C11" s="7">
        <v>-845</v>
      </c>
      <c r="D11" s="7">
        <v>4455</v>
      </c>
      <c r="E11" s="7">
        <v>73</v>
      </c>
      <c r="F11" s="7"/>
      <c r="G11" s="7"/>
      <c r="H11" s="7"/>
      <c r="I11" s="7">
        <v>1</v>
      </c>
      <c r="J11" s="7">
        <v>107</v>
      </c>
      <c r="K11" s="7"/>
      <c r="L11" s="7">
        <v>3621</v>
      </c>
    </row>
    <row r="12" spans="1:12" x14ac:dyDescent="0.35">
      <c r="A12" t="s">
        <v>228</v>
      </c>
      <c r="B12" s="7">
        <v>-162</v>
      </c>
      <c r="C12" s="7">
        <v>-13056</v>
      </c>
      <c r="D12" s="7">
        <v>-34279</v>
      </c>
      <c r="E12" s="7">
        <v>-65507</v>
      </c>
      <c r="F12" s="7"/>
      <c r="G12" s="7">
        <v>-687</v>
      </c>
      <c r="H12" s="7">
        <v>-3</v>
      </c>
      <c r="I12" s="7">
        <v>-1</v>
      </c>
      <c r="J12" s="7">
        <v>36952</v>
      </c>
      <c r="K12" s="7"/>
      <c r="L12" s="7">
        <v>-76742</v>
      </c>
    </row>
    <row r="13" spans="1:12" x14ac:dyDescent="0.35">
      <c r="A13" t="s">
        <v>66</v>
      </c>
      <c r="B13" s="7"/>
      <c r="C13" s="7"/>
      <c r="D13" s="7"/>
      <c r="E13" s="7"/>
      <c r="F13" s="7"/>
      <c r="G13" s="7"/>
      <c r="H13" s="7"/>
      <c r="I13" s="7"/>
      <c r="J13" s="7"/>
      <c r="K13" s="7"/>
      <c r="L13" s="7"/>
    </row>
    <row r="14" spans="1:12" x14ac:dyDescent="0.35">
      <c r="A14" t="s">
        <v>229</v>
      </c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</row>
    <row r="15" spans="1:12" x14ac:dyDescent="0.35">
      <c r="A15" t="s">
        <v>230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</row>
    <row r="16" spans="1:12" x14ac:dyDescent="0.35">
      <c r="A16" t="s">
        <v>70</v>
      </c>
      <c r="B16" s="7"/>
      <c r="C16" s="7">
        <v>-284890</v>
      </c>
      <c r="D16" s="7">
        <v>276943</v>
      </c>
      <c r="E16" s="7"/>
      <c r="F16" s="7"/>
      <c r="G16" s="7"/>
      <c r="H16" s="7"/>
      <c r="I16" s="7"/>
      <c r="J16" s="7"/>
      <c r="K16" s="7"/>
      <c r="L16" s="7">
        <v>-7947</v>
      </c>
    </row>
    <row r="17" spans="1:12" x14ac:dyDescent="0.35">
      <c r="A17" t="s">
        <v>231</v>
      </c>
      <c r="B17" s="7">
        <v>-525</v>
      </c>
      <c r="C17" s="7"/>
      <c r="D17" s="7"/>
      <c r="E17" s="7"/>
      <c r="F17" s="7"/>
      <c r="G17" s="7"/>
      <c r="H17" s="7"/>
      <c r="I17" s="7"/>
      <c r="J17" s="7"/>
      <c r="K17" s="7"/>
      <c r="L17" s="7">
        <v>-525</v>
      </c>
    </row>
    <row r="18" spans="1:12" x14ac:dyDescent="0.35">
      <c r="A18" t="s">
        <v>232</v>
      </c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</row>
    <row r="19" spans="1:12" x14ac:dyDescent="0.35">
      <c r="A19" t="s">
        <v>233</v>
      </c>
      <c r="B19" s="7"/>
      <c r="C19" s="7">
        <v>149</v>
      </c>
      <c r="D19" s="7">
        <v>-188</v>
      </c>
      <c r="E19" s="7"/>
      <c r="F19" s="7"/>
      <c r="G19" s="7"/>
      <c r="H19" s="7"/>
      <c r="I19" s="7">
        <v>-90</v>
      </c>
      <c r="J19" s="7"/>
      <c r="K19" s="7"/>
      <c r="L19" s="7">
        <v>-129</v>
      </c>
    </row>
    <row r="20" spans="1:12" x14ac:dyDescent="0.35">
      <c r="A20" t="s">
        <v>234</v>
      </c>
      <c r="B20" s="7">
        <v>-164</v>
      </c>
      <c r="C20" s="7">
        <v>-1681</v>
      </c>
      <c r="D20" s="7">
        <v>-9641</v>
      </c>
      <c r="E20" s="7">
        <v>-14359</v>
      </c>
      <c r="F20" s="7"/>
      <c r="G20" s="7"/>
      <c r="H20" s="7"/>
      <c r="I20" s="7"/>
      <c r="J20" s="7">
        <v>-3560</v>
      </c>
      <c r="K20" s="7"/>
      <c r="L20" s="7">
        <v>-29404</v>
      </c>
    </row>
    <row r="21" spans="1:12" x14ac:dyDescent="0.35">
      <c r="A21" t="s">
        <v>235</v>
      </c>
      <c r="B21" s="7">
        <v>-108</v>
      </c>
      <c r="C21" s="7"/>
      <c r="D21" s="7"/>
      <c r="E21" s="7">
        <v>-425</v>
      </c>
      <c r="F21" s="7"/>
      <c r="G21" s="7"/>
      <c r="H21" s="7"/>
      <c r="I21" s="7"/>
      <c r="J21" s="7">
        <v>-4292</v>
      </c>
      <c r="K21" s="7"/>
      <c r="L21" s="7">
        <v>-4825</v>
      </c>
    </row>
    <row r="22" spans="1:12" x14ac:dyDescent="0.35">
      <c r="A22" t="s">
        <v>131</v>
      </c>
      <c r="B22" s="7">
        <v>464</v>
      </c>
      <c r="C22" s="7">
        <v>2593</v>
      </c>
      <c r="D22" s="7">
        <v>142765</v>
      </c>
      <c r="E22" s="7">
        <v>65198</v>
      </c>
      <c r="F22" s="7"/>
      <c r="G22" s="7"/>
      <c r="H22" s="7">
        <v>69</v>
      </c>
      <c r="I22" s="7">
        <v>333</v>
      </c>
      <c r="J22" s="7">
        <v>29274</v>
      </c>
      <c r="K22" s="7"/>
      <c r="L22" s="7">
        <v>240697</v>
      </c>
    </row>
    <row r="23" spans="1:12" x14ac:dyDescent="0.35">
      <c r="A23" t="s">
        <v>80</v>
      </c>
      <c r="B23" s="7">
        <v>374</v>
      </c>
      <c r="C23" s="7">
        <v>2593</v>
      </c>
      <c r="D23" s="7">
        <v>21692</v>
      </c>
      <c r="E23" s="7">
        <v>37358</v>
      </c>
      <c r="F23" s="7"/>
      <c r="G23" s="7"/>
      <c r="H23" s="7"/>
      <c r="I23" s="7"/>
      <c r="J23" s="7">
        <v>7155</v>
      </c>
      <c r="K23" s="7"/>
      <c r="L23" s="7">
        <v>69170</v>
      </c>
    </row>
    <row r="24" spans="1:12" x14ac:dyDescent="0.35">
      <c r="A24" t="s">
        <v>82</v>
      </c>
      <c r="B24" s="7"/>
      <c r="C24" s="7"/>
      <c r="D24" s="7">
        <v>70598</v>
      </c>
      <c r="E24" s="7">
        <v>107</v>
      </c>
      <c r="F24" s="7"/>
      <c r="G24" s="7"/>
      <c r="H24" s="7"/>
      <c r="I24" s="7"/>
      <c r="J24" s="7">
        <v>1</v>
      </c>
      <c r="K24" s="7"/>
      <c r="L24" s="7">
        <v>70706</v>
      </c>
    </row>
    <row r="25" spans="1:12" x14ac:dyDescent="0.35">
      <c r="A25" t="s">
        <v>86</v>
      </c>
      <c r="B25" s="7">
        <v>18</v>
      </c>
      <c r="C25" s="7"/>
      <c r="D25" s="7">
        <v>18408</v>
      </c>
      <c r="E25" s="7">
        <v>16248</v>
      </c>
      <c r="F25" s="7"/>
      <c r="G25" s="7"/>
      <c r="H25" s="7">
        <v>64</v>
      </c>
      <c r="I25" s="7">
        <v>182</v>
      </c>
      <c r="J25" s="7">
        <v>12022</v>
      </c>
      <c r="K25" s="7"/>
      <c r="L25" s="7">
        <v>46944</v>
      </c>
    </row>
    <row r="26" spans="1:12" x14ac:dyDescent="0.35">
      <c r="A26" t="s">
        <v>88</v>
      </c>
      <c r="B26" s="7"/>
      <c r="C26" s="7"/>
      <c r="D26" s="7">
        <v>4091</v>
      </c>
      <c r="E26" s="7">
        <v>2297</v>
      </c>
      <c r="F26" s="7"/>
      <c r="G26" s="7"/>
      <c r="H26" s="7">
        <v>4</v>
      </c>
      <c r="I26" s="7">
        <v>57</v>
      </c>
      <c r="J26" s="7">
        <v>6089</v>
      </c>
      <c r="K26" s="7"/>
      <c r="L26" s="7">
        <v>12540</v>
      </c>
    </row>
    <row r="27" spans="1:12" x14ac:dyDescent="0.35">
      <c r="A27" t="s">
        <v>90</v>
      </c>
      <c r="B27" s="7"/>
      <c r="C27" s="7"/>
      <c r="D27" s="7">
        <v>4386</v>
      </c>
      <c r="E27" s="7"/>
      <c r="F27" s="7"/>
      <c r="G27" s="7"/>
      <c r="H27" s="7"/>
      <c r="I27" s="7"/>
      <c r="J27" s="7">
        <v>1070</v>
      </c>
      <c r="K27" s="7"/>
      <c r="L27" s="7">
        <v>5456</v>
      </c>
    </row>
    <row r="28" spans="1:12" x14ac:dyDescent="0.35">
      <c r="A28" t="s">
        <v>92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</row>
    <row r="29" spans="1:12" x14ac:dyDescent="0.35">
      <c r="A29" t="s">
        <v>94</v>
      </c>
      <c r="B29" s="7"/>
      <c r="C29" s="7"/>
      <c r="D29" s="7">
        <v>2101</v>
      </c>
      <c r="E29" s="7">
        <v>217</v>
      </c>
      <c r="F29" s="7"/>
      <c r="G29" s="7"/>
      <c r="H29" s="7"/>
      <c r="I29" s="7">
        <v>94</v>
      </c>
      <c r="J29" s="7">
        <v>2938</v>
      </c>
      <c r="K29" s="7"/>
      <c r="L29" s="7">
        <v>5349</v>
      </c>
    </row>
    <row r="30" spans="1:12" x14ac:dyDescent="0.35">
      <c r="A30" t="s">
        <v>236</v>
      </c>
      <c r="B30" s="7">
        <v>72</v>
      </c>
      <c r="C30" s="7"/>
      <c r="D30" s="7">
        <v>21488</v>
      </c>
      <c r="E30" s="7">
        <v>8974</v>
      </c>
      <c r="F30" s="7"/>
      <c r="G30" s="7"/>
      <c r="H30" s="7"/>
      <c r="I30" s="7"/>
      <c r="J30" s="7"/>
      <c r="K30" s="7"/>
      <c r="L30" s="7">
        <v>30534</v>
      </c>
    </row>
    <row r="32" spans="1:12" x14ac:dyDescent="0.35">
      <c r="B32" s="7">
        <f>SUM(B9,B10:B21,B22*-1)</f>
        <v>0</v>
      </c>
      <c r="C32" s="7">
        <f t="shared" ref="C32:L32" si="0">SUM(C9,C10:C21,C22*-1)</f>
        <v>-2</v>
      </c>
      <c r="D32" s="7">
        <f t="shared" si="0"/>
        <v>1</v>
      </c>
      <c r="E32" s="7">
        <f t="shared" si="0"/>
        <v>0</v>
      </c>
      <c r="F32" s="7">
        <f t="shared" si="0"/>
        <v>0</v>
      </c>
      <c r="G32" s="7">
        <f t="shared" si="0"/>
        <v>0</v>
      </c>
      <c r="H32" s="7">
        <f t="shared" si="0"/>
        <v>0</v>
      </c>
      <c r="I32" s="7">
        <f t="shared" si="0"/>
        <v>-1</v>
      </c>
      <c r="J32" s="7">
        <f t="shared" si="0"/>
        <v>-2</v>
      </c>
      <c r="K32" s="7">
        <f t="shared" si="0"/>
        <v>0</v>
      </c>
      <c r="L32" s="7">
        <f t="shared" si="0"/>
        <v>2</v>
      </c>
    </row>
  </sheetData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Ark3"/>
  <dimension ref="A1:L32"/>
  <sheetViews>
    <sheetView workbookViewId="0">
      <selection activeCell="A3" sqref="A3:L30"/>
    </sheetView>
  </sheetViews>
  <sheetFormatPr defaultRowHeight="14.5" x14ac:dyDescent="0.35"/>
  <cols>
    <col min="1" max="1" width="30" customWidth="1"/>
    <col min="2" max="2" width="11.54296875" customWidth="1"/>
    <col min="3" max="3" width="12" customWidth="1"/>
    <col min="4" max="4" width="14.54296875" customWidth="1"/>
    <col min="5" max="5" width="14.1796875" customWidth="1"/>
    <col min="8" max="8" width="22.81640625" customWidth="1"/>
    <col min="9" max="9" width="21.81640625" customWidth="1"/>
    <col min="10" max="10" width="13.81640625" customWidth="1"/>
    <col min="11" max="11" width="12.26953125" customWidth="1"/>
    <col min="12" max="12" width="11.81640625" customWidth="1"/>
  </cols>
  <sheetData>
    <row r="1" spans="1:12" x14ac:dyDescent="0.35">
      <c r="B1" t="s">
        <v>214</v>
      </c>
      <c r="C1" t="s">
        <v>2</v>
      </c>
      <c r="D1" t="s">
        <v>215</v>
      </c>
      <c r="E1" t="s">
        <v>216</v>
      </c>
      <c r="F1" t="s">
        <v>5</v>
      </c>
      <c r="G1" t="s">
        <v>6</v>
      </c>
      <c r="H1" t="s">
        <v>217</v>
      </c>
      <c r="I1" t="s">
        <v>8</v>
      </c>
      <c r="J1" t="s">
        <v>9</v>
      </c>
      <c r="K1" t="s">
        <v>10</v>
      </c>
      <c r="L1" t="s">
        <v>218</v>
      </c>
    </row>
    <row r="2" spans="1:12" x14ac:dyDescent="0.35">
      <c r="B2" t="s">
        <v>219</v>
      </c>
      <c r="C2" t="s">
        <v>219</v>
      </c>
      <c r="D2" t="s">
        <v>219</v>
      </c>
      <c r="E2" t="s">
        <v>219</v>
      </c>
      <c r="F2" t="s">
        <v>219</v>
      </c>
      <c r="G2" t="s">
        <v>219</v>
      </c>
      <c r="H2" t="s">
        <v>219</v>
      </c>
      <c r="I2" t="s">
        <v>219</v>
      </c>
      <c r="J2" t="s">
        <v>219</v>
      </c>
      <c r="K2" t="s">
        <v>219</v>
      </c>
      <c r="L2" t="s">
        <v>219</v>
      </c>
    </row>
    <row r="3" spans="1:12" x14ac:dyDescent="0.35">
      <c r="A3" t="s">
        <v>17</v>
      </c>
      <c r="B3" s="7">
        <v>1012</v>
      </c>
      <c r="C3" s="7">
        <v>1259499</v>
      </c>
      <c r="D3" s="7"/>
      <c r="E3" s="7">
        <v>252291</v>
      </c>
      <c r="F3" s="7"/>
      <c r="G3" s="7">
        <v>2367</v>
      </c>
      <c r="H3" s="7">
        <v>80</v>
      </c>
      <c r="I3" s="7">
        <v>877</v>
      </c>
      <c r="J3" s="7"/>
      <c r="K3" s="7"/>
      <c r="L3" s="7">
        <v>1516129</v>
      </c>
    </row>
    <row r="4" spans="1:12" x14ac:dyDescent="0.35">
      <c r="A4" t="s">
        <v>220</v>
      </c>
      <c r="B4" s="7">
        <v>944</v>
      </c>
      <c r="C4" s="7">
        <v>11228</v>
      </c>
      <c r="D4" s="7">
        <v>42362</v>
      </c>
      <c r="E4" s="7">
        <v>6728</v>
      </c>
      <c r="F4" s="7"/>
      <c r="G4" s="7"/>
      <c r="H4" s="7"/>
      <c r="I4" s="7">
        <v>40</v>
      </c>
      <c r="J4" s="7">
        <v>409</v>
      </c>
      <c r="K4" s="7"/>
      <c r="L4" s="7">
        <v>61713</v>
      </c>
    </row>
    <row r="5" spans="1:12" x14ac:dyDescent="0.35">
      <c r="A5" t="s">
        <v>221</v>
      </c>
      <c r="B5" s="7">
        <v>-26</v>
      </c>
      <c r="C5" s="7">
        <v>-878054</v>
      </c>
      <c r="D5" s="7">
        <v>-161289</v>
      </c>
      <c r="E5" s="7">
        <v>-46564</v>
      </c>
      <c r="F5" s="7"/>
      <c r="G5" s="7"/>
      <c r="H5" s="7"/>
      <c r="I5" s="7"/>
      <c r="J5" s="7">
        <v>-315</v>
      </c>
      <c r="K5" s="7"/>
      <c r="L5" s="7">
        <v>-1086249</v>
      </c>
    </row>
    <row r="6" spans="1:12" x14ac:dyDescent="0.35">
      <c r="A6" t="s">
        <v>222</v>
      </c>
      <c r="B6" s="7"/>
      <c r="C6" s="7"/>
      <c r="D6" s="7">
        <v>-16945</v>
      </c>
      <c r="E6" s="7"/>
      <c r="F6" s="7"/>
      <c r="G6" s="7"/>
      <c r="H6" s="7"/>
      <c r="I6" s="7"/>
      <c r="J6" s="7"/>
      <c r="K6" s="7"/>
      <c r="L6" s="7">
        <v>-16945</v>
      </c>
    </row>
    <row r="7" spans="1:12" x14ac:dyDescent="0.35">
      <c r="A7" t="s">
        <v>223</v>
      </c>
      <c r="B7" s="7"/>
      <c r="C7" s="7"/>
      <c r="D7" s="7">
        <v>-8978</v>
      </c>
      <c r="E7" s="7"/>
      <c r="F7" s="7"/>
      <c r="G7" s="7"/>
      <c r="H7" s="7"/>
      <c r="I7" s="7"/>
      <c r="J7" s="7"/>
      <c r="K7" s="7"/>
      <c r="L7" s="7">
        <v>-8978</v>
      </c>
    </row>
    <row r="8" spans="1:12" x14ac:dyDescent="0.35">
      <c r="A8" t="s">
        <v>224</v>
      </c>
      <c r="B8" s="7">
        <v>33</v>
      </c>
      <c r="C8" s="7">
        <v>4209</v>
      </c>
      <c r="D8" s="7">
        <v>-793</v>
      </c>
      <c r="E8" s="7"/>
      <c r="F8" s="7"/>
      <c r="G8" s="7"/>
      <c r="H8" s="7"/>
      <c r="I8" s="7"/>
      <c r="J8" s="7"/>
      <c r="K8" s="7"/>
      <c r="L8" s="7">
        <v>3450</v>
      </c>
    </row>
    <row r="9" spans="1:12" x14ac:dyDescent="0.35">
      <c r="A9" t="s">
        <v>225</v>
      </c>
      <c r="B9" s="7">
        <v>1962</v>
      </c>
      <c r="C9" s="7">
        <v>396882</v>
      </c>
      <c r="D9" s="7">
        <v>-145640</v>
      </c>
      <c r="E9" s="7">
        <v>212454</v>
      </c>
      <c r="F9" s="7"/>
      <c r="G9" s="7">
        <v>2367</v>
      </c>
      <c r="H9" s="7">
        <v>80</v>
      </c>
      <c r="I9" s="7">
        <v>917</v>
      </c>
      <c r="J9" s="7">
        <v>94</v>
      </c>
      <c r="K9" s="7"/>
      <c r="L9" s="7">
        <v>469119</v>
      </c>
    </row>
    <row r="10" spans="1:12" x14ac:dyDescent="0.35">
      <c r="A10" t="s">
        <v>226</v>
      </c>
      <c r="B10" s="7"/>
      <c r="C10" s="7">
        <v>-62717</v>
      </c>
      <c r="D10" s="7">
        <v>66776</v>
      </c>
      <c r="E10" s="7"/>
      <c r="F10" s="7"/>
      <c r="G10" s="7"/>
      <c r="H10" s="7"/>
      <c r="I10" s="7"/>
      <c r="J10" s="7"/>
      <c r="K10" s="7"/>
      <c r="L10" s="7">
        <v>4061</v>
      </c>
    </row>
    <row r="11" spans="1:12" x14ac:dyDescent="0.35">
      <c r="A11" t="s">
        <v>227</v>
      </c>
      <c r="B11" s="7">
        <v>-122</v>
      </c>
      <c r="C11" s="7">
        <v>940</v>
      </c>
      <c r="D11" s="7">
        <v>2624</v>
      </c>
      <c r="E11" s="7">
        <v>-812</v>
      </c>
      <c r="F11" s="7"/>
      <c r="G11" s="7"/>
      <c r="H11" s="7"/>
      <c r="I11" s="7"/>
      <c r="J11" s="7">
        <v>-129</v>
      </c>
      <c r="K11" s="7"/>
      <c r="L11" s="7">
        <v>2502</v>
      </c>
    </row>
    <row r="12" spans="1:12" x14ac:dyDescent="0.35">
      <c r="A12" t="s">
        <v>228</v>
      </c>
      <c r="B12" s="7">
        <v>-192</v>
      </c>
      <c r="C12" s="7">
        <v>-11051</v>
      </c>
      <c r="D12" s="7">
        <v>-43681</v>
      </c>
      <c r="E12" s="7">
        <v>-100793</v>
      </c>
      <c r="F12" s="7"/>
      <c r="G12" s="7">
        <v>-2367</v>
      </c>
      <c r="H12" s="7">
        <v>-6</v>
      </c>
      <c r="I12" s="7">
        <v>-1</v>
      </c>
      <c r="J12" s="7">
        <v>51295</v>
      </c>
      <c r="K12" s="7"/>
      <c r="L12" s="7">
        <v>-106796</v>
      </c>
    </row>
    <row r="13" spans="1:12" x14ac:dyDescent="0.35">
      <c r="A13" t="s">
        <v>66</v>
      </c>
      <c r="B13" s="7"/>
      <c r="C13" s="7"/>
      <c r="D13" s="7"/>
      <c r="E13" s="7"/>
      <c r="F13" s="7"/>
      <c r="G13" s="7"/>
      <c r="H13" s="7"/>
      <c r="I13" s="7"/>
      <c r="J13" s="7"/>
      <c r="K13" s="7"/>
      <c r="L13" s="7"/>
    </row>
    <row r="14" spans="1:12" x14ac:dyDescent="0.35">
      <c r="A14" t="s">
        <v>229</v>
      </c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</row>
    <row r="15" spans="1:12" x14ac:dyDescent="0.35">
      <c r="A15" t="s">
        <v>230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</row>
    <row r="16" spans="1:12" x14ac:dyDescent="0.35">
      <c r="A16" t="s">
        <v>70</v>
      </c>
      <c r="B16" s="7"/>
      <c r="C16" s="7">
        <v>-319541</v>
      </c>
      <c r="D16" s="7">
        <v>312611</v>
      </c>
      <c r="E16" s="7"/>
      <c r="F16" s="7"/>
      <c r="G16" s="7"/>
      <c r="H16" s="7"/>
      <c r="I16" s="7"/>
      <c r="J16" s="7"/>
      <c r="K16" s="7"/>
      <c r="L16" s="7">
        <v>-6928</v>
      </c>
    </row>
    <row r="17" spans="1:12" x14ac:dyDescent="0.35">
      <c r="A17" t="s">
        <v>231</v>
      </c>
      <c r="B17" s="7">
        <v>-519</v>
      </c>
      <c r="C17" s="7"/>
      <c r="D17" s="7"/>
      <c r="E17" s="7"/>
      <c r="F17" s="7"/>
      <c r="G17" s="7"/>
      <c r="H17" s="7"/>
      <c r="I17" s="7"/>
      <c r="J17" s="7"/>
      <c r="K17" s="7"/>
      <c r="L17" s="7">
        <v>-519</v>
      </c>
    </row>
    <row r="18" spans="1:12" x14ac:dyDescent="0.35">
      <c r="A18" t="s">
        <v>232</v>
      </c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</row>
    <row r="19" spans="1:12" x14ac:dyDescent="0.35">
      <c r="A19" t="s">
        <v>233</v>
      </c>
      <c r="B19" s="7"/>
      <c r="C19" s="7">
        <v>572</v>
      </c>
      <c r="D19" s="7">
        <v>-720</v>
      </c>
      <c r="E19" s="7"/>
      <c r="F19" s="7"/>
      <c r="G19" s="7"/>
      <c r="H19" s="7"/>
      <c r="I19" s="7">
        <v>-85</v>
      </c>
      <c r="J19" s="7"/>
      <c r="K19" s="7"/>
      <c r="L19" s="7">
        <v>-233</v>
      </c>
    </row>
    <row r="20" spans="1:12" x14ac:dyDescent="0.35">
      <c r="A20" t="s">
        <v>234</v>
      </c>
      <c r="B20" s="7">
        <v>-138</v>
      </c>
      <c r="C20" s="7">
        <v>-3727</v>
      </c>
      <c r="D20" s="7">
        <v>-10900</v>
      </c>
      <c r="E20" s="7">
        <v>-21728</v>
      </c>
      <c r="F20" s="7"/>
      <c r="G20" s="7"/>
      <c r="H20" s="7"/>
      <c r="I20" s="7"/>
      <c r="J20" s="7">
        <v>-4521</v>
      </c>
      <c r="K20" s="7"/>
      <c r="L20" s="7">
        <v>-41016</v>
      </c>
    </row>
    <row r="21" spans="1:12" x14ac:dyDescent="0.35">
      <c r="A21" t="s">
        <v>235</v>
      </c>
      <c r="B21" s="7">
        <v>-107</v>
      </c>
      <c r="C21" s="7"/>
      <c r="D21" s="7"/>
      <c r="E21" s="7"/>
      <c r="F21" s="7"/>
      <c r="G21" s="7"/>
      <c r="H21" s="7"/>
      <c r="I21" s="7"/>
      <c r="J21" s="7">
        <v>-7186</v>
      </c>
      <c r="K21" s="7"/>
      <c r="L21" s="7">
        <v>-7293</v>
      </c>
    </row>
    <row r="22" spans="1:12" x14ac:dyDescent="0.35">
      <c r="A22" t="s">
        <v>131</v>
      </c>
      <c r="B22" s="7">
        <v>884</v>
      </c>
      <c r="C22" s="7">
        <v>1357</v>
      </c>
      <c r="D22" s="7">
        <v>181070</v>
      </c>
      <c r="E22" s="7">
        <v>89123</v>
      </c>
      <c r="F22" s="7"/>
      <c r="G22" s="7"/>
      <c r="H22" s="7">
        <v>74</v>
      </c>
      <c r="I22" s="7">
        <v>829</v>
      </c>
      <c r="J22" s="7">
        <v>39553</v>
      </c>
      <c r="K22" s="7"/>
      <c r="L22" s="7">
        <v>312892</v>
      </c>
    </row>
    <row r="23" spans="1:12" x14ac:dyDescent="0.35">
      <c r="A23" t="s">
        <v>80</v>
      </c>
      <c r="B23" s="7">
        <v>811</v>
      </c>
      <c r="C23" s="7">
        <v>1357</v>
      </c>
      <c r="D23" s="7">
        <v>27459</v>
      </c>
      <c r="E23" s="7">
        <v>46681</v>
      </c>
      <c r="F23" s="7"/>
      <c r="G23" s="7"/>
      <c r="H23" s="7"/>
      <c r="I23" s="7"/>
      <c r="J23" s="7">
        <v>9124</v>
      </c>
      <c r="K23" s="7"/>
      <c r="L23" s="7">
        <v>85433</v>
      </c>
    </row>
    <row r="24" spans="1:12" x14ac:dyDescent="0.35">
      <c r="A24" t="s">
        <v>82</v>
      </c>
      <c r="B24" s="7"/>
      <c r="C24" s="7"/>
      <c r="D24" s="7">
        <v>91965</v>
      </c>
      <c r="E24" s="7">
        <v>684</v>
      </c>
      <c r="F24" s="7"/>
      <c r="G24" s="7"/>
      <c r="H24" s="7"/>
      <c r="I24" s="7"/>
      <c r="J24" s="7">
        <v>9</v>
      </c>
      <c r="K24" s="7"/>
      <c r="L24" s="7">
        <v>92658</v>
      </c>
    </row>
    <row r="25" spans="1:12" x14ac:dyDescent="0.35">
      <c r="A25" t="s">
        <v>86</v>
      </c>
      <c r="B25" s="7">
        <v>9</v>
      </c>
      <c r="C25" s="7"/>
      <c r="D25" s="7">
        <v>19444</v>
      </c>
      <c r="E25" s="7">
        <v>26649</v>
      </c>
      <c r="F25" s="7"/>
      <c r="G25" s="7"/>
      <c r="H25" s="7">
        <v>68</v>
      </c>
      <c r="I25" s="7">
        <v>434</v>
      </c>
      <c r="J25" s="7">
        <v>17775</v>
      </c>
      <c r="K25" s="7"/>
      <c r="L25" s="7">
        <v>64378</v>
      </c>
    </row>
    <row r="26" spans="1:12" x14ac:dyDescent="0.35">
      <c r="A26" t="s">
        <v>88</v>
      </c>
      <c r="B26" s="7"/>
      <c r="C26" s="7"/>
      <c r="D26" s="7">
        <v>4586</v>
      </c>
      <c r="E26" s="7">
        <v>3633</v>
      </c>
      <c r="F26" s="7"/>
      <c r="G26" s="7"/>
      <c r="H26" s="7">
        <v>6</v>
      </c>
      <c r="I26" s="7">
        <v>286</v>
      </c>
      <c r="J26" s="7">
        <v>8631</v>
      </c>
      <c r="K26" s="7"/>
      <c r="L26" s="7">
        <v>17143</v>
      </c>
    </row>
    <row r="27" spans="1:12" x14ac:dyDescent="0.35">
      <c r="A27" t="s">
        <v>90</v>
      </c>
      <c r="B27" s="7"/>
      <c r="C27" s="7"/>
      <c r="D27" s="7">
        <v>4823</v>
      </c>
      <c r="E27" s="7"/>
      <c r="F27" s="7"/>
      <c r="G27" s="7"/>
      <c r="H27" s="7"/>
      <c r="I27" s="7"/>
      <c r="J27" s="7">
        <v>1837</v>
      </c>
      <c r="K27" s="7"/>
      <c r="L27" s="7">
        <v>6660</v>
      </c>
    </row>
    <row r="28" spans="1:12" x14ac:dyDescent="0.35">
      <c r="A28" t="s">
        <v>92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</row>
    <row r="29" spans="1:12" x14ac:dyDescent="0.35">
      <c r="A29" t="s">
        <v>94</v>
      </c>
      <c r="B29" s="7"/>
      <c r="C29" s="7"/>
      <c r="D29" s="7">
        <v>2441</v>
      </c>
      <c r="E29" s="7">
        <v>53</v>
      </c>
      <c r="F29" s="7"/>
      <c r="G29" s="7"/>
      <c r="H29" s="7"/>
      <c r="I29" s="7">
        <v>110</v>
      </c>
      <c r="J29" s="7">
        <v>2181</v>
      </c>
      <c r="K29" s="7"/>
      <c r="L29" s="7">
        <v>4785</v>
      </c>
    </row>
    <row r="30" spans="1:12" x14ac:dyDescent="0.35">
      <c r="A30" t="s">
        <v>236</v>
      </c>
      <c r="B30" s="7">
        <v>64</v>
      </c>
      <c r="C30" s="7"/>
      <c r="D30" s="7">
        <v>30354</v>
      </c>
      <c r="E30" s="7">
        <v>11425</v>
      </c>
      <c r="F30" s="7"/>
      <c r="G30" s="7"/>
      <c r="H30" s="7"/>
      <c r="I30" s="7"/>
      <c r="J30" s="7"/>
      <c r="K30" s="7"/>
      <c r="L30" s="7">
        <v>41843</v>
      </c>
    </row>
    <row r="32" spans="1:12" x14ac:dyDescent="0.35">
      <c r="B32" s="7">
        <f>SUM(B9,B10:B21,B22*-1)</f>
        <v>0</v>
      </c>
      <c r="C32" s="7">
        <f t="shared" ref="C32:L32" si="0">SUM(C9,C10:C21,C22*-1)</f>
        <v>1</v>
      </c>
      <c r="D32" s="7">
        <f t="shared" si="0"/>
        <v>0</v>
      </c>
      <c r="E32" s="7">
        <f t="shared" si="0"/>
        <v>-2</v>
      </c>
      <c r="F32" s="7">
        <f t="shared" si="0"/>
        <v>0</v>
      </c>
      <c r="G32" s="7">
        <f t="shared" si="0"/>
        <v>0</v>
      </c>
      <c r="H32" s="7">
        <f t="shared" si="0"/>
        <v>0</v>
      </c>
      <c r="I32" s="7">
        <f t="shared" si="0"/>
        <v>2</v>
      </c>
      <c r="J32" s="7">
        <f t="shared" si="0"/>
        <v>0</v>
      </c>
      <c r="K32" s="7">
        <f t="shared" si="0"/>
        <v>0</v>
      </c>
      <c r="L32" s="7">
        <f t="shared" si="0"/>
        <v>5</v>
      </c>
    </row>
  </sheetData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Ark4"/>
  <dimension ref="A1:L32"/>
  <sheetViews>
    <sheetView workbookViewId="0">
      <selection activeCell="A3" sqref="A3:L30"/>
    </sheetView>
  </sheetViews>
  <sheetFormatPr defaultRowHeight="14.5" x14ac:dyDescent="0.35"/>
  <cols>
    <col min="1" max="1" width="30" customWidth="1"/>
    <col min="2" max="2" width="11.54296875" customWidth="1"/>
    <col min="3" max="3" width="12" customWidth="1"/>
    <col min="4" max="4" width="14.54296875" customWidth="1"/>
    <col min="5" max="5" width="14.1796875" customWidth="1"/>
    <col min="8" max="8" width="22.81640625" customWidth="1"/>
    <col min="9" max="9" width="21.81640625" customWidth="1"/>
    <col min="10" max="10" width="13.81640625" customWidth="1"/>
    <col min="11" max="11" width="12.26953125" customWidth="1"/>
    <col min="12" max="12" width="11.81640625" customWidth="1"/>
  </cols>
  <sheetData>
    <row r="1" spans="1:12" x14ac:dyDescent="0.35">
      <c r="B1" t="s">
        <v>214</v>
      </c>
      <c r="C1" t="s">
        <v>2</v>
      </c>
      <c r="D1" t="s">
        <v>215</v>
      </c>
      <c r="E1" t="s">
        <v>216</v>
      </c>
      <c r="F1" t="s">
        <v>5</v>
      </c>
      <c r="G1" t="s">
        <v>6</v>
      </c>
      <c r="H1" t="s">
        <v>217</v>
      </c>
      <c r="I1" t="s">
        <v>8</v>
      </c>
      <c r="J1" t="s">
        <v>9</v>
      </c>
      <c r="K1" t="s">
        <v>10</v>
      </c>
      <c r="L1" t="s">
        <v>218</v>
      </c>
    </row>
    <row r="2" spans="1:12" x14ac:dyDescent="0.35">
      <c r="B2" t="s">
        <v>219</v>
      </c>
      <c r="C2" t="s">
        <v>219</v>
      </c>
      <c r="D2" t="s">
        <v>219</v>
      </c>
      <c r="E2" t="s">
        <v>219</v>
      </c>
      <c r="F2" t="s">
        <v>219</v>
      </c>
      <c r="G2" t="s">
        <v>219</v>
      </c>
      <c r="H2" t="s">
        <v>219</v>
      </c>
      <c r="I2" t="s">
        <v>219</v>
      </c>
      <c r="J2" t="s">
        <v>219</v>
      </c>
      <c r="K2" t="s">
        <v>219</v>
      </c>
      <c r="L2" t="s">
        <v>219</v>
      </c>
    </row>
    <row r="3" spans="1:12" x14ac:dyDescent="0.35">
      <c r="A3" t="s">
        <v>17</v>
      </c>
      <c r="B3" s="7">
        <v>727</v>
      </c>
      <c r="C3" s="7">
        <v>1231970</v>
      </c>
      <c r="D3" s="7"/>
      <c r="E3" s="7">
        <v>391320</v>
      </c>
      <c r="F3" s="7"/>
      <c r="G3" s="7">
        <v>1529</v>
      </c>
      <c r="H3" s="7">
        <v>154</v>
      </c>
      <c r="I3" s="7">
        <v>897</v>
      </c>
      <c r="J3" s="7"/>
      <c r="K3" s="7"/>
      <c r="L3" s="7">
        <v>1626600</v>
      </c>
    </row>
    <row r="4" spans="1:12" x14ac:dyDescent="0.35">
      <c r="A4" t="s">
        <v>220</v>
      </c>
      <c r="B4" s="7">
        <v>1755</v>
      </c>
      <c r="C4" s="7">
        <v>10066</v>
      </c>
      <c r="D4" s="7">
        <v>59057</v>
      </c>
      <c r="E4" s="7">
        <v>28726</v>
      </c>
      <c r="F4" s="7"/>
      <c r="G4" s="7"/>
      <c r="H4" s="7"/>
      <c r="I4" s="7">
        <v>70</v>
      </c>
      <c r="J4" s="7">
        <v>968</v>
      </c>
      <c r="K4" s="7"/>
      <c r="L4" s="7">
        <v>100641</v>
      </c>
    </row>
    <row r="5" spans="1:12" x14ac:dyDescent="0.35">
      <c r="A5" t="s">
        <v>221</v>
      </c>
      <c r="B5" s="7">
        <v>-79</v>
      </c>
      <c r="C5" s="7">
        <v>-794961</v>
      </c>
      <c r="D5" s="7">
        <v>-170750</v>
      </c>
      <c r="E5" s="7">
        <v>-113618</v>
      </c>
      <c r="F5" s="7"/>
      <c r="G5" s="7"/>
      <c r="H5" s="7"/>
      <c r="I5" s="7"/>
      <c r="J5" s="7">
        <v>-674</v>
      </c>
      <c r="K5" s="7"/>
      <c r="L5" s="7">
        <v>-1080080</v>
      </c>
    </row>
    <row r="6" spans="1:12" x14ac:dyDescent="0.35">
      <c r="A6" t="s">
        <v>222</v>
      </c>
      <c r="B6" s="7"/>
      <c r="C6" s="7"/>
      <c r="D6" s="7">
        <v>-20937</v>
      </c>
      <c r="E6" s="7"/>
      <c r="F6" s="7"/>
      <c r="G6" s="7"/>
      <c r="H6" s="7"/>
      <c r="I6" s="7"/>
      <c r="J6" s="7"/>
      <c r="K6" s="7"/>
      <c r="L6" s="7">
        <v>-20937</v>
      </c>
    </row>
    <row r="7" spans="1:12" x14ac:dyDescent="0.35">
      <c r="A7" t="s">
        <v>223</v>
      </c>
      <c r="B7" s="7"/>
      <c r="C7" s="7"/>
      <c r="D7" s="7">
        <v>-11991</v>
      </c>
      <c r="E7" s="7"/>
      <c r="F7" s="7"/>
      <c r="G7" s="7"/>
      <c r="H7" s="7"/>
      <c r="I7" s="7"/>
      <c r="J7" s="7"/>
      <c r="K7" s="7"/>
      <c r="L7" s="7">
        <v>-11991</v>
      </c>
    </row>
    <row r="8" spans="1:12" x14ac:dyDescent="0.35">
      <c r="A8" t="s">
        <v>224</v>
      </c>
      <c r="B8" s="7">
        <v>-1</v>
      </c>
      <c r="C8" s="7">
        <v>-7471</v>
      </c>
      <c r="D8" s="7">
        <v>1575</v>
      </c>
      <c r="E8" s="7"/>
      <c r="F8" s="7"/>
      <c r="G8" s="7"/>
      <c r="H8" s="7"/>
      <c r="I8" s="7"/>
      <c r="J8" s="7"/>
      <c r="K8" s="7"/>
      <c r="L8" s="7">
        <v>-5896</v>
      </c>
    </row>
    <row r="9" spans="1:12" x14ac:dyDescent="0.35">
      <c r="A9" t="s">
        <v>225</v>
      </c>
      <c r="B9" s="7">
        <v>2403</v>
      </c>
      <c r="C9" s="7">
        <v>439605</v>
      </c>
      <c r="D9" s="7">
        <v>-143046</v>
      </c>
      <c r="E9" s="7">
        <v>306429</v>
      </c>
      <c r="F9" s="7"/>
      <c r="G9" s="7">
        <v>1529</v>
      </c>
      <c r="H9" s="7">
        <v>154</v>
      </c>
      <c r="I9" s="7">
        <v>967</v>
      </c>
      <c r="J9" s="7">
        <v>296</v>
      </c>
      <c r="K9" s="7"/>
      <c r="L9" s="7">
        <v>608339</v>
      </c>
    </row>
    <row r="10" spans="1:12" x14ac:dyDescent="0.35">
      <c r="A10" t="s">
        <v>226</v>
      </c>
      <c r="B10" s="7"/>
      <c r="C10" s="7">
        <v>-74463</v>
      </c>
      <c r="D10" s="7">
        <v>80864</v>
      </c>
      <c r="E10" s="7"/>
      <c r="F10" s="7"/>
      <c r="G10" s="7"/>
      <c r="H10" s="7"/>
      <c r="I10" s="7"/>
      <c r="J10" s="7"/>
      <c r="K10" s="7"/>
      <c r="L10" s="7">
        <v>6401</v>
      </c>
    </row>
    <row r="11" spans="1:12" x14ac:dyDescent="0.35">
      <c r="A11" t="s">
        <v>227</v>
      </c>
      <c r="B11" s="7">
        <v>-200</v>
      </c>
      <c r="C11" s="7">
        <v>5167</v>
      </c>
      <c r="D11" s="7">
        <v>3049</v>
      </c>
      <c r="E11" s="7">
        <v>183</v>
      </c>
      <c r="F11" s="7"/>
      <c r="G11" s="7"/>
      <c r="H11" s="7"/>
      <c r="I11" s="7"/>
      <c r="J11" s="7">
        <v>-550</v>
      </c>
      <c r="K11" s="7"/>
      <c r="L11" s="7">
        <v>7647</v>
      </c>
    </row>
    <row r="12" spans="1:12" x14ac:dyDescent="0.35">
      <c r="A12" t="s">
        <v>228</v>
      </c>
      <c r="B12" s="7">
        <v>-121</v>
      </c>
      <c r="C12" s="7">
        <v>-26327</v>
      </c>
      <c r="D12" s="7">
        <v>-56645</v>
      </c>
      <c r="E12" s="7">
        <v>-129057</v>
      </c>
      <c r="F12" s="7"/>
      <c r="G12" s="7">
        <v>-1529</v>
      </c>
      <c r="H12" s="7">
        <v>-15</v>
      </c>
      <c r="I12" s="7">
        <v>-6</v>
      </c>
      <c r="J12" s="7">
        <v>71317</v>
      </c>
      <c r="K12" s="7"/>
      <c r="L12" s="7">
        <v>-142383</v>
      </c>
    </row>
    <row r="13" spans="1:12" x14ac:dyDescent="0.35">
      <c r="A13" t="s">
        <v>66</v>
      </c>
      <c r="B13" s="7"/>
      <c r="C13" s="7"/>
      <c r="D13" s="7"/>
      <c r="E13" s="7"/>
      <c r="F13" s="7"/>
      <c r="G13" s="7"/>
      <c r="H13" s="7"/>
      <c r="I13" s="7"/>
      <c r="J13" s="7"/>
      <c r="K13" s="7"/>
      <c r="L13" s="7"/>
    </row>
    <row r="14" spans="1:12" x14ac:dyDescent="0.35">
      <c r="A14" t="s">
        <v>229</v>
      </c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</row>
    <row r="15" spans="1:12" x14ac:dyDescent="0.35">
      <c r="A15" t="s">
        <v>230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</row>
    <row r="16" spans="1:12" x14ac:dyDescent="0.35">
      <c r="A16" t="s">
        <v>70</v>
      </c>
      <c r="B16" s="7"/>
      <c r="C16" s="7">
        <v>-337073</v>
      </c>
      <c r="D16" s="7">
        <v>330033</v>
      </c>
      <c r="E16" s="7"/>
      <c r="F16" s="7"/>
      <c r="G16" s="7"/>
      <c r="H16" s="7"/>
      <c r="I16" s="7"/>
      <c r="J16" s="7"/>
      <c r="K16" s="7"/>
      <c r="L16" s="7">
        <v>-7043</v>
      </c>
    </row>
    <row r="17" spans="1:12" x14ac:dyDescent="0.35">
      <c r="A17" t="s">
        <v>231</v>
      </c>
      <c r="B17" s="7">
        <v>-575</v>
      </c>
      <c r="C17" s="7"/>
      <c r="D17" s="7"/>
      <c r="E17" s="7"/>
      <c r="F17" s="7"/>
      <c r="G17" s="7"/>
      <c r="H17" s="7"/>
      <c r="I17" s="7"/>
      <c r="J17" s="7"/>
      <c r="K17" s="7"/>
      <c r="L17" s="7">
        <v>-575</v>
      </c>
    </row>
    <row r="18" spans="1:12" x14ac:dyDescent="0.35">
      <c r="A18" t="s">
        <v>232</v>
      </c>
      <c r="B18" s="7"/>
      <c r="C18" s="7">
        <v>1136</v>
      </c>
      <c r="D18" s="7"/>
      <c r="E18" s="7">
        <v>-2744</v>
      </c>
      <c r="F18" s="7"/>
      <c r="G18" s="7"/>
      <c r="H18" s="7"/>
      <c r="I18" s="7"/>
      <c r="J18" s="7"/>
      <c r="K18" s="7"/>
      <c r="L18" s="7">
        <v>-1608</v>
      </c>
    </row>
    <row r="19" spans="1:12" x14ac:dyDescent="0.35">
      <c r="A19" t="s">
        <v>233</v>
      </c>
      <c r="B19" s="7"/>
      <c r="C19" s="7">
        <v>434</v>
      </c>
      <c r="D19" s="7">
        <v>-546</v>
      </c>
      <c r="E19" s="7"/>
      <c r="F19" s="7"/>
      <c r="G19" s="7"/>
      <c r="H19" s="7"/>
      <c r="I19" s="7">
        <v>-80</v>
      </c>
      <c r="J19" s="7"/>
      <c r="K19" s="7"/>
      <c r="L19" s="7">
        <v>-192</v>
      </c>
    </row>
    <row r="20" spans="1:12" x14ac:dyDescent="0.35">
      <c r="A20" t="s">
        <v>234</v>
      </c>
      <c r="B20" s="7">
        <v>-184</v>
      </c>
      <c r="C20" s="7">
        <v>-2253</v>
      </c>
      <c r="D20" s="7">
        <v>-10180</v>
      </c>
      <c r="E20" s="7">
        <v>-28926</v>
      </c>
      <c r="F20" s="7"/>
      <c r="G20" s="7"/>
      <c r="H20" s="7"/>
      <c r="I20" s="7"/>
      <c r="J20" s="7">
        <v>-4347</v>
      </c>
      <c r="K20" s="7"/>
      <c r="L20" s="7">
        <v>-45889</v>
      </c>
    </row>
    <row r="21" spans="1:12" x14ac:dyDescent="0.35">
      <c r="A21" t="s">
        <v>235</v>
      </c>
      <c r="B21" s="7">
        <v>-148</v>
      </c>
      <c r="C21" s="7">
        <v>-76</v>
      </c>
      <c r="D21" s="7"/>
      <c r="E21" s="7">
        <v>-31</v>
      </c>
      <c r="F21" s="7"/>
      <c r="G21" s="7"/>
      <c r="H21" s="7"/>
      <c r="I21" s="7"/>
      <c r="J21" s="7">
        <v>-8901</v>
      </c>
      <c r="K21" s="7"/>
      <c r="L21" s="7">
        <v>-9154</v>
      </c>
    </row>
    <row r="22" spans="1:12" x14ac:dyDescent="0.35">
      <c r="A22" t="s">
        <v>131</v>
      </c>
      <c r="B22" s="7">
        <v>1176</v>
      </c>
      <c r="C22" s="7">
        <v>6146</v>
      </c>
      <c r="D22" s="7">
        <v>203528</v>
      </c>
      <c r="E22" s="7">
        <v>145854</v>
      </c>
      <c r="F22" s="7"/>
      <c r="G22" s="7"/>
      <c r="H22" s="7">
        <v>139</v>
      </c>
      <c r="I22" s="7">
        <v>881</v>
      </c>
      <c r="J22" s="7">
        <v>57815</v>
      </c>
      <c r="K22" s="7"/>
      <c r="L22" s="7">
        <v>415539</v>
      </c>
    </row>
    <row r="23" spans="1:12" x14ac:dyDescent="0.35">
      <c r="A23" t="s">
        <v>80</v>
      </c>
      <c r="B23" s="7">
        <v>973</v>
      </c>
      <c r="C23" s="7">
        <v>6146</v>
      </c>
      <c r="D23" s="7">
        <v>28660</v>
      </c>
      <c r="E23" s="7">
        <v>83055</v>
      </c>
      <c r="F23" s="7"/>
      <c r="G23" s="7"/>
      <c r="H23" s="7">
        <v>1</v>
      </c>
      <c r="I23" s="7"/>
      <c r="J23" s="7">
        <v>13022</v>
      </c>
      <c r="K23" s="7"/>
      <c r="L23" s="7">
        <v>131854</v>
      </c>
    </row>
    <row r="24" spans="1:12" x14ac:dyDescent="0.35">
      <c r="A24" t="s">
        <v>82</v>
      </c>
      <c r="B24" s="7"/>
      <c r="C24" s="7"/>
      <c r="D24" s="7">
        <v>110784</v>
      </c>
      <c r="E24" s="7">
        <v>5102</v>
      </c>
      <c r="F24" s="7"/>
      <c r="G24" s="7"/>
      <c r="H24" s="7"/>
      <c r="I24" s="7"/>
      <c r="J24" s="7">
        <v>26</v>
      </c>
      <c r="K24" s="7"/>
      <c r="L24" s="7">
        <v>115913</v>
      </c>
    </row>
    <row r="25" spans="1:12" x14ac:dyDescent="0.35">
      <c r="A25" t="s">
        <v>86</v>
      </c>
      <c r="B25" s="7">
        <v>9</v>
      </c>
      <c r="C25" s="7"/>
      <c r="D25" s="7">
        <v>15975</v>
      </c>
      <c r="E25" s="7">
        <v>34574</v>
      </c>
      <c r="F25" s="7"/>
      <c r="G25" s="7"/>
      <c r="H25" s="7">
        <v>118</v>
      </c>
      <c r="I25" s="7">
        <v>432</v>
      </c>
      <c r="J25" s="7">
        <v>25381</v>
      </c>
      <c r="K25" s="7"/>
      <c r="L25" s="7">
        <v>76487</v>
      </c>
    </row>
    <row r="26" spans="1:12" x14ac:dyDescent="0.35">
      <c r="A26" t="s">
        <v>88</v>
      </c>
      <c r="B26" s="7"/>
      <c r="C26" s="7"/>
      <c r="D26" s="7">
        <v>3588</v>
      </c>
      <c r="E26" s="7">
        <v>6838</v>
      </c>
      <c r="F26" s="7"/>
      <c r="G26" s="7"/>
      <c r="H26" s="7">
        <v>21</v>
      </c>
      <c r="I26" s="7">
        <v>306</v>
      </c>
      <c r="J26" s="7">
        <v>13230</v>
      </c>
      <c r="K26" s="7"/>
      <c r="L26" s="7">
        <v>23983</v>
      </c>
    </row>
    <row r="27" spans="1:12" x14ac:dyDescent="0.35">
      <c r="A27" t="s">
        <v>90</v>
      </c>
      <c r="B27" s="7"/>
      <c r="C27" s="7"/>
      <c r="D27" s="7">
        <v>4719</v>
      </c>
      <c r="E27" s="7">
        <v>400</v>
      </c>
      <c r="F27" s="7"/>
      <c r="G27" s="7"/>
      <c r="H27" s="7"/>
      <c r="I27" s="7"/>
      <c r="J27" s="7">
        <v>2605</v>
      </c>
      <c r="K27" s="7"/>
      <c r="L27" s="7">
        <v>7724</v>
      </c>
    </row>
    <row r="28" spans="1:12" x14ac:dyDescent="0.35">
      <c r="A28" t="s">
        <v>92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</row>
    <row r="29" spans="1:12" x14ac:dyDescent="0.35">
      <c r="A29" t="s">
        <v>94</v>
      </c>
      <c r="B29" s="7"/>
      <c r="C29" s="7"/>
      <c r="D29" s="7">
        <v>927</v>
      </c>
      <c r="E29" s="7">
        <v>145</v>
      </c>
      <c r="F29" s="7"/>
      <c r="G29" s="7"/>
      <c r="H29" s="7"/>
      <c r="I29" s="7">
        <v>142</v>
      </c>
      <c r="J29" s="7">
        <v>3553</v>
      </c>
      <c r="K29" s="7"/>
      <c r="L29" s="7">
        <v>4767</v>
      </c>
    </row>
    <row r="30" spans="1:12" x14ac:dyDescent="0.35">
      <c r="A30" t="s">
        <v>236</v>
      </c>
      <c r="B30" s="7">
        <v>195</v>
      </c>
      <c r="C30" s="7"/>
      <c r="D30" s="7">
        <v>38872</v>
      </c>
      <c r="E30" s="7">
        <v>15740</v>
      </c>
      <c r="F30" s="7"/>
      <c r="G30" s="7"/>
      <c r="H30" s="7"/>
      <c r="I30" s="7"/>
      <c r="J30" s="7"/>
      <c r="K30" s="7"/>
      <c r="L30" s="7">
        <v>54807</v>
      </c>
    </row>
    <row r="32" spans="1:12" x14ac:dyDescent="0.35">
      <c r="B32" s="7">
        <f>SUM(B9,B10:B21,B22*-1)</f>
        <v>-1</v>
      </c>
      <c r="C32" s="7">
        <f t="shared" ref="C32:L32" si="0">SUM(C9,C10:C21,C22*-1)</f>
        <v>4</v>
      </c>
      <c r="D32" s="7">
        <f t="shared" si="0"/>
        <v>1</v>
      </c>
      <c r="E32" s="7">
        <f t="shared" si="0"/>
        <v>0</v>
      </c>
      <c r="F32" s="7">
        <f t="shared" si="0"/>
        <v>0</v>
      </c>
      <c r="G32" s="7">
        <f t="shared" si="0"/>
        <v>0</v>
      </c>
      <c r="H32" s="7">
        <f t="shared" si="0"/>
        <v>0</v>
      </c>
      <c r="I32" s="7">
        <f t="shared" si="0"/>
        <v>0</v>
      </c>
      <c r="J32" s="7">
        <f t="shared" si="0"/>
        <v>0</v>
      </c>
      <c r="K32" s="7">
        <f t="shared" si="0"/>
        <v>0</v>
      </c>
      <c r="L32" s="7">
        <f t="shared" si="0"/>
        <v>4</v>
      </c>
    </row>
  </sheetData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Ark93"/>
  <dimension ref="A1:L32"/>
  <sheetViews>
    <sheetView workbookViewId="0">
      <selection activeCell="B3" sqref="B3:L31"/>
    </sheetView>
  </sheetViews>
  <sheetFormatPr defaultRowHeight="14.5" x14ac:dyDescent="0.35"/>
  <cols>
    <col min="1" max="1" width="30" customWidth="1"/>
    <col min="2" max="2" width="11.54296875" customWidth="1"/>
    <col min="3" max="3" width="12" customWidth="1"/>
    <col min="4" max="4" width="14.54296875" customWidth="1"/>
    <col min="5" max="5" width="14.1796875" customWidth="1"/>
    <col min="8" max="8" width="22.81640625" customWidth="1"/>
    <col min="9" max="9" width="21.81640625" customWidth="1"/>
    <col min="10" max="10" width="13.81640625" customWidth="1"/>
    <col min="11" max="11" width="12.26953125" customWidth="1"/>
    <col min="12" max="12" width="11.81640625" customWidth="1"/>
  </cols>
  <sheetData>
    <row r="1" spans="1:12" x14ac:dyDescent="0.35">
      <c r="B1" t="s">
        <v>214</v>
      </c>
      <c r="C1" t="s">
        <v>2</v>
      </c>
      <c r="D1" t="s">
        <v>215</v>
      </c>
      <c r="E1" t="s">
        <v>216</v>
      </c>
      <c r="F1" t="s">
        <v>5</v>
      </c>
      <c r="G1" t="s">
        <v>6</v>
      </c>
      <c r="H1" t="s">
        <v>217</v>
      </c>
      <c r="I1" t="s">
        <v>8</v>
      </c>
      <c r="J1" t="s">
        <v>9</v>
      </c>
      <c r="K1" t="s">
        <v>10</v>
      </c>
      <c r="L1" t="s">
        <v>218</v>
      </c>
    </row>
    <row r="2" spans="1:12" x14ac:dyDescent="0.35">
      <c r="B2" t="s">
        <v>219</v>
      </c>
      <c r="C2" t="s">
        <v>219</v>
      </c>
      <c r="D2" t="s">
        <v>219</v>
      </c>
      <c r="E2" t="s">
        <v>219</v>
      </c>
      <c r="F2" t="s">
        <v>219</v>
      </c>
      <c r="G2" t="s">
        <v>219</v>
      </c>
      <c r="H2" t="s">
        <v>219</v>
      </c>
      <c r="I2" t="s">
        <v>219</v>
      </c>
      <c r="J2" t="s">
        <v>219</v>
      </c>
      <c r="K2" t="s">
        <v>219</v>
      </c>
      <c r="L2" t="s">
        <v>219</v>
      </c>
    </row>
    <row r="3" spans="1:12" x14ac:dyDescent="0.35">
      <c r="A3" t="s">
        <v>17</v>
      </c>
      <c r="B3" s="7">
        <v>806</v>
      </c>
      <c r="C3" s="7">
        <v>1394772</v>
      </c>
      <c r="D3" s="7"/>
      <c r="E3" s="7">
        <v>488551</v>
      </c>
      <c r="F3" s="7">
        <v>759</v>
      </c>
      <c r="G3" s="7">
        <v>1513</v>
      </c>
      <c r="H3" s="7">
        <v>333</v>
      </c>
      <c r="I3" s="7">
        <v>799</v>
      </c>
      <c r="J3" s="7"/>
      <c r="K3" s="7"/>
      <c r="L3" s="7">
        <v>1887529</v>
      </c>
    </row>
    <row r="4" spans="1:12" x14ac:dyDescent="0.35">
      <c r="A4" t="s">
        <v>220</v>
      </c>
      <c r="B4" s="7">
        <v>2613</v>
      </c>
      <c r="C4" s="7">
        <v>14173</v>
      </c>
      <c r="D4" s="7">
        <v>82923</v>
      </c>
      <c r="E4" s="7">
        <v>31668</v>
      </c>
      <c r="F4" s="7"/>
      <c r="G4" s="7"/>
      <c r="H4" s="7"/>
      <c r="I4" s="7">
        <v>67</v>
      </c>
      <c r="J4" s="7">
        <v>1597</v>
      </c>
      <c r="K4" s="7"/>
      <c r="L4" s="7">
        <v>133039</v>
      </c>
    </row>
    <row r="5" spans="1:12" x14ac:dyDescent="0.35">
      <c r="A5" t="s">
        <v>221</v>
      </c>
      <c r="B5" s="7">
        <v>-124</v>
      </c>
      <c r="C5" s="7">
        <v>-917105</v>
      </c>
      <c r="D5" s="7">
        <v>-206778</v>
      </c>
      <c r="E5" s="7">
        <v>-134674</v>
      </c>
      <c r="F5" s="7"/>
      <c r="G5" s="7"/>
      <c r="H5" s="7"/>
      <c r="I5" s="7"/>
      <c r="J5" s="7">
        <v>-653</v>
      </c>
      <c r="K5" s="7"/>
      <c r="L5" s="7">
        <v>-1259331</v>
      </c>
    </row>
    <row r="6" spans="1:12" x14ac:dyDescent="0.35">
      <c r="A6" t="s">
        <v>222</v>
      </c>
      <c r="B6" s="7"/>
      <c r="C6" s="7"/>
      <c r="D6" s="7">
        <v>-26282</v>
      </c>
      <c r="E6" s="7"/>
      <c r="F6" s="7"/>
      <c r="G6" s="7"/>
      <c r="H6" s="7"/>
      <c r="I6" s="7"/>
      <c r="J6" s="7"/>
      <c r="K6" s="7"/>
      <c r="L6" s="7">
        <v>-26282</v>
      </c>
    </row>
    <row r="7" spans="1:12" x14ac:dyDescent="0.35">
      <c r="A7" t="s">
        <v>223</v>
      </c>
      <c r="B7" s="7"/>
      <c r="C7" s="7"/>
      <c r="D7" s="7">
        <v>-15746</v>
      </c>
      <c r="E7" s="7"/>
      <c r="F7" s="7"/>
      <c r="G7" s="7"/>
      <c r="H7" s="7"/>
      <c r="I7" s="7"/>
      <c r="J7" s="7"/>
      <c r="K7" s="7"/>
      <c r="L7" s="7">
        <v>-15746</v>
      </c>
    </row>
    <row r="8" spans="1:12" x14ac:dyDescent="0.35">
      <c r="A8" t="s">
        <v>224</v>
      </c>
      <c r="B8" s="7"/>
      <c r="C8" s="7">
        <v>1795</v>
      </c>
      <c r="D8" s="7">
        <v>-3466</v>
      </c>
      <c r="E8" s="7"/>
      <c r="F8" s="7"/>
      <c r="G8" s="7"/>
      <c r="H8" s="7"/>
      <c r="I8" s="7"/>
      <c r="J8" s="7"/>
      <c r="K8" s="7"/>
      <c r="L8" s="7">
        <v>-1669</v>
      </c>
    </row>
    <row r="9" spans="1:12" x14ac:dyDescent="0.35">
      <c r="A9" t="s">
        <v>225</v>
      </c>
      <c r="B9" s="7">
        <v>3295</v>
      </c>
      <c r="C9" s="7">
        <v>493635</v>
      </c>
      <c r="D9" s="7">
        <v>-169344</v>
      </c>
      <c r="E9" s="7">
        <v>385546</v>
      </c>
      <c r="F9" s="7">
        <v>759</v>
      </c>
      <c r="G9" s="7">
        <v>1513</v>
      </c>
      <c r="H9" s="7">
        <v>333</v>
      </c>
      <c r="I9" s="7">
        <v>865</v>
      </c>
      <c r="J9" s="7">
        <v>943</v>
      </c>
      <c r="K9" s="7"/>
      <c r="L9" s="7">
        <v>717543</v>
      </c>
    </row>
    <row r="10" spans="1:12" x14ac:dyDescent="0.35">
      <c r="A10" t="s">
        <v>226</v>
      </c>
      <c r="B10" s="7"/>
      <c r="C10" s="7">
        <v>-96074</v>
      </c>
      <c r="D10" s="7">
        <v>104065</v>
      </c>
      <c r="E10" s="7"/>
      <c r="F10" s="7"/>
      <c r="G10" s="7"/>
      <c r="H10" s="7"/>
      <c r="I10" s="7"/>
      <c r="J10" s="7"/>
      <c r="K10" s="7"/>
      <c r="L10" s="7">
        <v>7993</v>
      </c>
    </row>
    <row r="11" spans="1:12" x14ac:dyDescent="0.35">
      <c r="A11" t="s">
        <v>227</v>
      </c>
      <c r="B11" s="7">
        <v>415</v>
      </c>
      <c r="C11" s="7">
        <v>9477</v>
      </c>
      <c r="D11" s="7">
        <v>3322</v>
      </c>
      <c r="E11" s="7">
        <v>8004</v>
      </c>
      <c r="F11" s="7"/>
      <c r="G11" s="7"/>
      <c r="H11" s="7"/>
      <c r="I11" s="7"/>
      <c r="J11" s="7">
        <v>-2797</v>
      </c>
      <c r="K11" s="7"/>
      <c r="L11" s="7">
        <v>18426</v>
      </c>
    </row>
    <row r="12" spans="1:12" x14ac:dyDescent="0.35">
      <c r="A12" t="s">
        <v>228</v>
      </c>
      <c r="B12" s="7">
        <v>-158</v>
      </c>
      <c r="C12" s="7">
        <v>-38074</v>
      </c>
      <c r="D12" s="7">
        <v>-61440</v>
      </c>
      <c r="E12" s="7">
        <v>-155749</v>
      </c>
      <c r="F12" s="7">
        <v>-759</v>
      </c>
      <c r="G12" s="7">
        <v>-1513</v>
      </c>
      <c r="H12" s="7">
        <v>-126</v>
      </c>
      <c r="I12" s="7">
        <v>-5</v>
      </c>
      <c r="J12" s="7">
        <v>91893</v>
      </c>
      <c r="K12" s="7"/>
      <c r="L12" s="7">
        <v>-165928</v>
      </c>
    </row>
    <row r="13" spans="1:12" x14ac:dyDescent="0.35">
      <c r="A13" t="s">
        <v>66</v>
      </c>
      <c r="B13" s="7"/>
      <c r="C13" s="7"/>
      <c r="D13" s="7"/>
      <c r="E13" s="7"/>
      <c r="F13" s="7"/>
      <c r="G13" s="7"/>
      <c r="H13" s="7"/>
      <c r="I13" s="7"/>
      <c r="J13" s="7"/>
      <c r="K13" s="7"/>
      <c r="L13" s="7"/>
    </row>
    <row r="14" spans="1:12" x14ac:dyDescent="0.35">
      <c r="A14" t="s">
        <v>229</v>
      </c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</row>
    <row r="15" spans="1:12" x14ac:dyDescent="0.35">
      <c r="A15" t="s">
        <v>230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</row>
    <row r="16" spans="1:12" x14ac:dyDescent="0.35">
      <c r="A16" t="s">
        <v>70</v>
      </c>
      <c r="B16" s="7"/>
      <c r="C16" s="7">
        <v>-370556</v>
      </c>
      <c r="D16" s="7">
        <v>365025</v>
      </c>
      <c r="E16" s="7"/>
      <c r="F16" s="7"/>
      <c r="G16" s="7"/>
      <c r="H16" s="7"/>
      <c r="I16" s="7"/>
      <c r="J16" s="7"/>
      <c r="K16" s="7"/>
      <c r="L16" s="7">
        <v>-5533</v>
      </c>
    </row>
    <row r="17" spans="1:12" x14ac:dyDescent="0.35">
      <c r="A17" t="s">
        <v>231</v>
      </c>
      <c r="B17" s="7">
        <v>-611</v>
      </c>
      <c r="C17" s="7"/>
      <c r="D17" s="7"/>
      <c r="E17" s="7"/>
      <c r="F17" s="7"/>
      <c r="G17" s="7"/>
      <c r="H17" s="7"/>
      <c r="I17" s="7"/>
      <c r="J17" s="7"/>
      <c r="K17" s="7"/>
      <c r="L17" s="7">
        <v>-611</v>
      </c>
    </row>
    <row r="18" spans="1:12" x14ac:dyDescent="0.35">
      <c r="A18" t="s">
        <v>232</v>
      </c>
      <c r="B18" s="7"/>
      <c r="C18" s="7">
        <v>5788</v>
      </c>
      <c r="D18" s="7"/>
      <c r="E18" s="7">
        <v>-14042</v>
      </c>
      <c r="F18" s="7"/>
      <c r="G18" s="7"/>
      <c r="H18" s="7"/>
      <c r="I18" s="7"/>
      <c r="J18" s="7"/>
      <c r="K18" s="7"/>
      <c r="L18" s="7">
        <v>-8254</v>
      </c>
    </row>
    <row r="19" spans="1:12" x14ac:dyDescent="0.35">
      <c r="A19" t="s">
        <v>233</v>
      </c>
      <c r="B19" s="7"/>
      <c r="C19" s="7">
        <v>456</v>
      </c>
      <c r="D19" s="7">
        <v>-573</v>
      </c>
      <c r="E19" s="7"/>
      <c r="F19" s="7"/>
      <c r="G19" s="7"/>
      <c r="H19" s="7"/>
      <c r="I19" s="7">
        <v>-89</v>
      </c>
      <c r="J19" s="7"/>
      <c r="K19" s="7"/>
      <c r="L19" s="7">
        <v>-206</v>
      </c>
    </row>
    <row r="20" spans="1:12" x14ac:dyDescent="0.35">
      <c r="A20" t="s">
        <v>234</v>
      </c>
      <c r="B20" s="7">
        <v>-165</v>
      </c>
      <c r="C20" s="7">
        <v>-4241</v>
      </c>
      <c r="D20" s="7">
        <v>-12888</v>
      </c>
      <c r="E20" s="7">
        <v>-37260</v>
      </c>
      <c r="F20" s="7"/>
      <c r="G20" s="7"/>
      <c r="H20" s="7"/>
      <c r="I20" s="7"/>
      <c r="J20" s="7">
        <v>-5061</v>
      </c>
      <c r="K20" s="7"/>
      <c r="L20" s="7">
        <v>-59614</v>
      </c>
    </row>
    <row r="21" spans="1:12" x14ac:dyDescent="0.35">
      <c r="A21" t="s">
        <v>235</v>
      </c>
      <c r="B21" s="7">
        <v>-26</v>
      </c>
      <c r="C21" s="7">
        <v>-160</v>
      </c>
      <c r="D21" s="7"/>
      <c r="E21" s="7">
        <v>-49</v>
      </c>
      <c r="F21" s="7"/>
      <c r="G21" s="7"/>
      <c r="H21" s="7"/>
      <c r="I21" s="7"/>
      <c r="J21" s="7">
        <v>-11648</v>
      </c>
      <c r="K21" s="7"/>
      <c r="L21" s="7">
        <v>-11883</v>
      </c>
    </row>
    <row r="22" spans="1:12" x14ac:dyDescent="0.35">
      <c r="A22" t="s">
        <v>131</v>
      </c>
      <c r="B22" s="7">
        <v>2749</v>
      </c>
      <c r="C22" s="7">
        <v>252</v>
      </c>
      <c r="D22" s="7">
        <v>228166</v>
      </c>
      <c r="E22" s="7">
        <v>186451</v>
      </c>
      <c r="F22" s="7"/>
      <c r="G22" s="7"/>
      <c r="H22" s="7">
        <v>209</v>
      </c>
      <c r="I22" s="7">
        <v>770</v>
      </c>
      <c r="J22" s="7">
        <v>73335</v>
      </c>
      <c r="K22" s="7"/>
      <c r="L22" s="7">
        <v>491927</v>
      </c>
    </row>
    <row r="23" spans="1:12" x14ac:dyDescent="0.35">
      <c r="A23" t="s">
        <v>80</v>
      </c>
      <c r="B23" s="7">
        <v>2457</v>
      </c>
      <c r="C23" s="7">
        <v>252</v>
      </c>
      <c r="D23" s="7">
        <v>27446</v>
      </c>
      <c r="E23" s="7">
        <v>107310</v>
      </c>
      <c r="F23" s="7"/>
      <c r="G23" s="7"/>
      <c r="H23" s="7">
        <v>2</v>
      </c>
      <c r="I23" s="7"/>
      <c r="J23" s="7">
        <v>14158</v>
      </c>
      <c r="K23" s="7"/>
      <c r="L23" s="7">
        <v>151626</v>
      </c>
    </row>
    <row r="24" spans="1:12" x14ac:dyDescent="0.35">
      <c r="A24" t="s">
        <v>82</v>
      </c>
      <c r="B24" s="7"/>
      <c r="C24" s="7"/>
      <c r="D24" s="7">
        <v>131769</v>
      </c>
      <c r="E24" s="7">
        <v>6661</v>
      </c>
      <c r="F24" s="7"/>
      <c r="G24" s="7"/>
      <c r="H24" s="7"/>
      <c r="I24" s="7"/>
      <c r="J24" s="7">
        <v>47</v>
      </c>
      <c r="K24" s="7"/>
      <c r="L24" s="7">
        <v>138478</v>
      </c>
    </row>
    <row r="25" spans="1:12" x14ac:dyDescent="0.35">
      <c r="A25" t="s">
        <v>86</v>
      </c>
      <c r="B25" s="7">
        <v>9</v>
      </c>
      <c r="C25" s="7"/>
      <c r="D25" s="7">
        <v>12282</v>
      </c>
      <c r="E25" s="7">
        <v>39402</v>
      </c>
      <c r="F25" s="7"/>
      <c r="G25" s="7"/>
      <c r="H25" s="7">
        <v>158</v>
      </c>
      <c r="I25" s="7">
        <v>375</v>
      </c>
      <c r="J25" s="7">
        <v>30875</v>
      </c>
      <c r="K25" s="7"/>
      <c r="L25" s="7">
        <v>83104</v>
      </c>
    </row>
    <row r="26" spans="1:12" x14ac:dyDescent="0.35">
      <c r="A26" t="s">
        <v>88</v>
      </c>
      <c r="B26" s="7"/>
      <c r="C26" s="7"/>
      <c r="D26" s="7">
        <v>1788</v>
      </c>
      <c r="E26" s="7">
        <v>10495</v>
      </c>
      <c r="F26" s="7"/>
      <c r="G26" s="7"/>
      <c r="H26" s="7">
        <v>48</v>
      </c>
      <c r="I26" s="7">
        <v>248</v>
      </c>
      <c r="J26" s="7">
        <v>20137</v>
      </c>
      <c r="K26" s="7"/>
      <c r="L26" s="7">
        <v>32715</v>
      </c>
    </row>
    <row r="27" spans="1:12" x14ac:dyDescent="0.35">
      <c r="A27" t="s">
        <v>90</v>
      </c>
      <c r="B27" s="7"/>
      <c r="C27" s="7"/>
      <c r="D27" s="7">
        <v>3032</v>
      </c>
      <c r="E27" s="7">
        <v>1387</v>
      </c>
      <c r="F27" s="7"/>
      <c r="G27" s="7"/>
      <c r="H27" s="7"/>
      <c r="I27" s="7"/>
      <c r="J27" s="7">
        <v>3872</v>
      </c>
      <c r="K27" s="7"/>
      <c r="L27" s="7">
        <v>8292</v>
      </c>
    </row>
    <row r="28" spans="1:12" x14ac:dyDescent="0.35">
      <c r="A28" t="s">
        <v>92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</row>
    <row r="29" spans="1:12" x14ac:dyDescent="0.35">
      <c r="A29" t="s">
        <v>94</v>
      </c>
      <c r="B29" s="7"/>
      <c r="C29" s="7"/>
      <c r="D29" s="7">
        <v>970</v>
      </c>
      <c r="E29" s="7">
        <v>161</v>
      </c>
      <c r="F29" s="7"/>
      <c r="G29" s="7"/>
      <c r="H29" s="7"/>
      <c r="I29" s="7">
        <v>147</v>
      </c>
      <c r="J29" s="7">
        <v>4241</v>
      </c>
      <c r="K29" s="7"/>
      <c r="L29" s="7">
        <v>5519</v>
      </c>
    </row>
    <row r="30" spans="1:12" x14ac:dyDescent="0.35">
      <c r="A30" t="s">
        <v>236</v>
      </c>
      <c r="B30" s="7">
        <v>284</v>
      </c>
      <c r="C30" s="7"/>
      <c r="D30" s="7">
        <v>50879</v>
      </c>
      <c r="E30" s="7">
        <v>21031</v>
      </c>
      <c r="F30" s="7"/>
      <c r="G30" s="7"/>
      <c r="H30" s="7"/>
      <c r="I30" s="7"/>
      <c r="J30" s="7"/>
      <c r="K30" s="7"/>
      <c r="L30" s="7">
        <v>72194</v>
      </c>
    </row>
    <row r="32" spans="1:12" x14ac:dyDescent="0.35">
      <c r="B32" s="7">
        <f>SUM(B9,B10:B21,B22*-1)</f>
        <v>1</v>
      </c>
      <c r="C32" s="7">
        <f t="shared" ref="C32:L32" si="0">SUM(C9,C10:C21,C22*-1)</f>
        <v>-1</v>
      </c>
      <c r="D32" s="7">
        <f t="shared" si="0"/>
        <v>1</v>
      </c>
      <c r="E32" s="7">
        <f t="shared" si="0"/>
        <v>-1</v>
      </c>
      <c r="F32" s="7">
        <f t="shared" si="0"/>
        <v>0</v>
      </c>
      <c r="G32" s="7">
        <f t="shared" si="0"/>
        <v>0</v>
      </c>
      <c r="H32" s="7">
        <f t="shared" si="0"/>
        <v>-2</v>
      </c>
      <c r="I32" s="7">
        <f t="shared" si="0"/>
        <v>1</v>
      </c>
      <c r="J32" s="7">
        <f t="shared" si="0"/>
        <v>-5</v>
      </c>
      <c r="K32" s="7">
        <f t="shared" si="0"/>
        <v>0</v>
      </c>
      <c r="L32" s="7">
        <f t="shared" si="0"/>
        <v>6</v>
      </c>
    </row>
  </sheetData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Ark5"/>
  <dimension ref="A1:L32"/>
  <sheetViews>
    <sheetView workbookViewId="0">
      <selection activeCell="M36" sqref="M36"/>
    </sheetView>
  </sheetViews>
  <sheetFormatPr defaultRowHeight="14.5" x14ac:dyDescent="0.35"/>
  <cols>
    <col min="1" max="1" width="30" customWidth="1"/>
    <col min="2" max="2" width="11.54296875" customWidth="1"/>
    <col min="3" max="3" width="12" customWidth="1"/>
    <col min="4" max="4" width="14.54296875" customWidth="1"/>
    <col min="5" max="5" width="14.1796875" customWidth="1"/>
    <col min="8" max="8" width="22.81640625" customWidth="1"/>
    <col min="9" max="9" width="21.81640625" customWidth="1"/>
    <col min="10" max="10" width="13.81640625" customWidth="1"/>
    <col min="11" max="11" width="12.26953125" customWidth="1"/>
    <col min="12" max="12" width="11.81640625" customWidth="1"/>
  </cols>
  <sheetData>
    <row r="1" spans="1:12" x14ac:dyDescent="0.35">
      <c r="B1" t="s">
        <v>214</v>
      </c>
      <c r="C1" t="s">
        <v>2</v>
      </c>
      <c r="D1" t="s">
        <v>215</v>
      </c>
      <c r="E1" t="s">
        <v>216</v>
      </c>
      <c r="F1" t="s">
        <v>5</v>
      </c>
      <c r="G1" t="s">
        <v>6</v>
      </c>
      <c r="H1" t="s">
        <v>217</v>
      </c>
      <c r="I1" t="s">
        <v>8</v>
      </c>
      <c r="J1" t="s">
        <v>9</v>
      </c>
      <c r="K1" t="s">
        <v>10</v>
      </c>
      <c r="L1" t="s">
        <v>218</v>
      </c>
    </row>
    <row r="2" spans="1:12" x14ac:dyDescent="0.35">
      <c r="B2" t="s">
        <v>219</v>
      </c>
      <c r="C2" t="s">
        <v>219</v>
      </c>
      <c r="D2" t="s">
        <v>219</v>
      </c>
      <c r="E2" t="s">
        <v>219</v>
      </c>
      <c r="F2" t="s">
        <v>219</v>
      </c>
      <c r="G2" t="s">
        <v>219</v>
      </c>
      <c r="H2" t="s">
        <v>219</v>
      </c>
      <c r="I2" t="s">
        <v>219</v>
      </c>
      <c r="J2" t="s">
        <v>219</v>
      </c>
      <c r="K2" t="s">
        <v>219</v>
      </c>
      <c r="L2" t="s">
        <v>219</v>
      </c>
    </row>
    <row r="3" spans="1:12" x14ac:dyDescent="0.35">
      <c r="A3" t="s">
        <v>17</v>
      </c>
      <c r="B3" s="7">
        <v>1099</v>
      </c>
      <c r="C3" s="7">
        <v>1494221</v>
      </c>
      <c r="D3" s="7"/>
      <c r="E3" s="7">
        <v>539179</v>
      </c>
      <c r="F3" s="7">
        <v>1978</v>
      </c>
      <c r="G3" s="7">
        <v>1609</v>
      </c>
      <c r="H3" s="7">
        <v>732</v>
      </c>
      <c r="I3" s="7">
        <v>890</v>
      </c>
      <c r="J3" s="7"/>
      <c r="K3" s="7"/>
      <c r="L3" s="7">
        <v>2039709</v>
      </c>
    </row>
    <row r="4" spans="1:12" x14ac:dyDescent="0.35">
      <c r="A4" t="s">
        <v>220</v>
      </c>
      <c r="B4" s="7">
        <v>2797</v>
      </c>
      <c r="C4" s="7">
        <v>20394</v>
      </c>
      <c r="D4" s="7">
        <v>96503</v>
      </c>
      <c r="E4" s="7">
        <v>30053</v>
      </c>
      <c r="F4" s="7"/>
      <c r="G4" s="7"/>
      <c r="H4" s="7"/>
      <c r="I4" s="7">
        <v>107</v>
      </c>
      <c r="J4" s="7">
        <v>2211</v>
      </c>
      <c r="K4" s="7"/>
      <c r="L4" s="7">
        <v>152064</v>
      </c>
    </row>
    <row r="5" spans="1:12" x14ac:dyDescent="0.35">
      <c r="A5" t="s">
        <v>221</v>
      </c>
      <c r="B5" s="7">
        <v>-202</v>
      </c>
      <c r="C5" s="7">
        <v>-1003961</v>
      </c>
      <c r="D5" s="7">
        <v>-252212</v>
      </c>
      <c r="E5" s="7">
        <v>-140113</v>
      </c>
      <c r="F5" s="7"/>
      <c r="G5" s="7"/>
      <c r="H5" s="7"/>
      <c r="I5" s="7"/>
      <c r="J5" s="7">
        <v>-678</v>
      </c>
      <c r="K5" s="7"/>
      <c r="L5" s="7">
        <v>-1397167</v>
      </c>
    </row>
    <row r="6" spans="1:12" x14ac:dyDescent="0.35">
      <c r="A6" t="s">
        <v>222</v>
      </c>
      <c r="B6" s="7"/>
      <c r="C6" s="7"/>
      <c r="D6" s="7">
        <v>-25303</v>
      </c>
      <c r="E6" s="7"/>
      <c r="F6" s="7"/>
      <c r="G6" s="7"/>
      <c r="H6" s="7"/>
      <c r="I6" s="7"/>
      <c r="J6" s="7"/>
      <c r="K6" s="7"/>
      <c r="L6" s="7">
        <v>-25303</v>
      </c>
    </row>
    <row r="7" spans="1:12" x14ac:dyDescent="0.35">
      <c r="A7" t="s">
        <v>223</v>
      </c>
      <c r="B7" s="7"/>
      <c r="C7" s="7"/>
      <c r="D7" s="7">
        <v>-17792</v>
      </c>
      <c r="E7" s="7"/>
      <c r="F7" s="7"/>
      <c r="G7" s="7"/>
      <c r="H7" s="7"/>
      <c r="I7" s="7"/>
      <c r="J7" s="7"/>
      <c r="K7" s="7"/>
      <c r="L7" s="7">
        <v>-17792</v>
      </c>
    </row>
    <row r="8" spans="1:12" x14ac:dyDescent="0.35">
      <c r="A8" t="s">
        <v>224</v>
      </c>
      <c r="B8" s="7"/>
      <c r="C8" s="7">
        <v>6330</v>
      </c>
      <c r="D8" s="7">
        <v>2066</v>
      </c>
      <c r="E8" s="7"/>
      <c r="F8" s="7"/>
      <c r="G8" s="7"/>
      <c r="H8" s="7"/>
      <c r="I8" s="7"/>
      <c r="J8" s="7"/>
      <c r="K8" s="7"/>
      <c r="L8" s="7">
        <v>8396</v>
      </c>
    </row>
    <row r="9" spans="1:12" x14ac:dyDescent="0.35">
      <c r="A9" t="s">
        <v>225</v>
      </c>
      <c r="B9" s="7">
        <v>3693</v>
      </c>
      <c r="C9" s="7">
        <v>516985</v>
      </c>
      <c r="D9" s="7">
        <v>-196736</v>
      </c>
      <c r="E9" s="7">
        <v>429120</v>
      </c>
      <c r="F9" s="7">
        <v>1978</v>
      </c>
      <c r="G9" s="7">
        <v>1609</v>
      </c>
      <c r="H9" s="7">
        <v>732</v>
      </c>
      <c r="I9" s="7">
        <v>996</v>
      </c>
      <c r="J9" s="7">
        <v>1532</v>
      </c>
      <c r="K9" s="7"/>
      <c r="L9" s="7">
        <v>759906</v>
      </c>
    </row>
    <row r="10" spans="1:12" x14ac:dyDescent="0.35">
      <c r="A10" t="s">
        <v>226</v>
      </c>
      <c r="B10" s="7"/>
      <c r="C10" s="7">
        <v>-95856</v>
      </c>
      <c r="D10" s="7">
        <v>104714</v>
      </c>
      <c r="E10" s="7"/>
      <c r="F10" s="7"/>
      <c r="G10" s="7"/>
      <c r="H10" s="7"/>
      <c r="I10" s="7"/>
      <c r="J10" s="7"/>
      <c r="K10" s="7"/>
      <c r="L10" s="7">
        <v>8857</v>
      </c>
    </row>
    <row r="11" spans="1:12" x14ac:dyDescent="0.35">
      <c r="A11" t="s">
        <v>227</v>
      </c>
      <c r="B11" s="7">
        <v>422</v>
      </c>
      <c r="C11" s="7">
        <v>9037</v>
      </c>
      <c r="D11" s="7">
        <v>-253</v>
      </c>
      <c r="E11" s="7">
        <v>-3429</v>
      </c>
      <c r="F11" s="7"/>
      <c r="G11" s="7"/>
      <c r="H11" s="7"/>
      <c r="I11" s="7"/>
      <c r="J11" s="7">
        <v>-1532</v>
      </c>
      <c r="K11" s="7"/>
      <c r="L11" s="7">
        <v>4242</v>
      </c>
    </row>
    <row r="12" spans="1:12" x14ac:dyDescent="0.35">
      <c r="A12" t="s">
        <v>228</v>
      </c>
      <c r="B12" s="7">
        <v>-250</v>
      </c>
      <c r="C12" s="7">
        <v>-27238</v>
      </c>
      <c r="D12" s="7">
        <v>-42057</v>
      </c>
      <c r="E12" s="7">
        <v>-187361</v>
      </c>
      <c r="F12" s="7">
        <v>-1978</v>
      </c>
      <c r="G12" s="7">
        <v>-1609</v>
      </c>
      <c r="H12" s="7">
        <v>-456</v>
      </c>
      <c r="I12" s="7">
        <v>-8</v>
      </c>
      <c r="J12" s="7">
        <v>99680</v>
      </c>
      <c r="K12" s="7"/>
      <c r="L12" s="7">
        <v>-161278</v>
      </c>
    </row>
    <row r="13" spans="1:12" x14ac:dyDescent="0.35">
      <c r="A13" t="s">
        <v>66</v>
      </c>
      <c r="B13" s="7"/>
      <c r="C13" s="7"/>
      <c r="D13" s="7"/>
      <c r="E13" s="7"/>
      <c r="F13" s="7"/>
      <c r="G13" s="7"/>
      <c r="H13" s="7"/>
      <c r="I13" s="7"/>
      <c r="J13" s="7"/>
      <c r="K13" s="7"/>
      <c r="L13" s="7"/>
    </row>
    <row r="14" spans="1:12" x14ac:dyDescent="0.35">
      <c r="A14" t="s">
        <v>229</v>
      </c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</row>
    <row r="15" spans="1:12" x14ac:dyDescent="0.35">
      <c r="A15" t="s">
        <v>230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</row>
    <row r="16" spans="1:12" x14ac:dyDescent="0.35">
      <c r="A16" t="s">
        <v>70</v>
      </c>
      <c r="B16" s="7"/>
      <c r="C16" s="7">
        <v>-402457</v>
      </c>
      <c r="D16" s="7">
        <v>391943</v>
      </c>
      <c r="E16" s="7"/>
      <c r="F16" s="7"/>
      <c r="G16" s="7"/>
      <c r="H16" s="7"/>
      <c r="I16" s="7"/>
      <c r="J16" s="7"/>
      <c r="K16" s="7"/>
      <c r="L16" s="7">
        <v>-10514</v>
      </c>
    </row>
    <row r="17" spans="1:12" x14ac:dyDescent="0.35">
      <c r="A17" t="s">
        <v>231</v>
      </c>
      <c r="B17" s="7">
        <v>-591</v>
      </c>
      <c r="C17" s="7"/>
      <c r="D17" s="7"/>
      <c r="E17" s="7"/>
      <c r="F17" s="7"/>
      <c r="G17" s="7"/>
      <c r="H17" s="7"/>
      <c r="I17" s="7"/>
      <c r="J17" s="7"/>
      <c r="K17" s="7"/>
      <c r="L17" s="7">
        <v>-591</v>
      </c>
    </row>
    <row r="18" spans="1:12" x14ac:dyDescent="0.35">
      <c r="A18" t="s">
        <v>232</v>
      </c>
      <c r="B18" s="7"/>
      <c r="C18" s="7">
        <v>3173</v>
      </c>
      <c r="D18" s="7"/>
      <c r="E18" s="7">
        <v>-7693</v>
      </c>
      <c r="F18" s="7"/>
      <c r="G18" s="7"/>
      <c r="H18" s="7"/>
      <c r="I18" s="7"/>
      <c r="J18" s="7"/>
      <c r="K18" s="7"/>
      <c r="L18" s="7">
        <v>-4520</v>
      </c>
    </row>
    <row r="19" spans="1:12" x14ac:dyDescent="0.35">
      <c r="A19" t="s">
        <v>233</v>
      </c>
      <c r="B19" s="7"/>
      <c r="C19" s="7">
        <v>484</v>
      </c>
      <c r="D19" s="7">
        <v>-598</v>
      </c>
      <c r="E19" s="7"/>
      <c r="F19" s="7"/>
      <c r="G19" s="7"/>
      <c r="H19" s="7"/>
      <c r="I19" s="7">
        <v>-120</v>
      </c>
      <c r="J19" s="7"/>
      <c r="K19" s="7"/>
      <c r="L19" s="7">
        <v>-234</v>
      </c>
    </row>
    <row r="20" spans="1:12" x14ac:dyDescent="0.35">
      <c r="A20" t="s">
        <v>234</v>
      </c>
      <c r="B20" s="7">
        <v>-163</v>
      </c>
      <c r="C20" s="7">
        <v>-3177</v>
      </c>
      <c r="D20" s="7">
        <v>-13874</v>
      </c>
      <c r="E20" s="7">
        <v>-40582</v>
      </c>
      <c r="F20" s="7"/>
      <c r="G20" s="7"/>
      <c r="H20" s="7"/>
      <c r="I20" s="7"/>
      <c r="J20" s="7">
        <v>-5450</v>
      </c>
      <c r="K20" s="7"/>
      <c r="L20" s="7">
        <v>-63245</v>
      </c>
    </row>
    <row r="21" spans="1:12" x14ac:dyDescent="0.35">
      <c r="A21" t="s">
        <v>235</v>
      </c>
      <c r="B21" s="7">
        <v>-34</v>
      </c>
      <c r="C21" s="7">
        <v>-219</v>
      </c>
      <c r="D21" s="7"/>
      <c r="E21" s="7">
        <v>-173</v>
      </c>
      <c r="F21" s="7"/>
      <c r="G21" s="7"/>
      <c r="H21" s="7"/>
      <c r="I21" s="7"/>
      <c r="J21" s="7">
        <v>-13221</v>
      </c>
      <c r="K21" s="7"/>
      <c r="L21" s="7">
        <v>-13647</v>
      </c>
    </row>
    <row r="22" spans="1:12" x14ac:dyDescent="0.35">
      <c r="A22" t="s">
        <v>131</v>
      </c>
      <c r="B22" s="7">
        <v>3078</v>
      </c>
      <c r="C22" s="7">
        <v>727</v>
      </c>
      <c r="D22" s="7">
        <v>243142</v>
      </c>
      <c r="E22" s="7">
        <v>189884</v>
      </c>
      <c r="F22" s="7"/>
      <c r="G22" s="7"/>
      <c r="H22" s="7">
        <v>275</v>
      </c>
      <c r="I22" s="7">
        <v>868</v>
      </c>
      <c r="J22" s="7">
        <v>81006</v>
      </c>
      <c r="K22" s="7"/>
      <c r="L22" s="7">
        <v>518980</v>
      </c>
    </row>
    <row r="23" spans="1:12" x14ac:dyDescent="0.35">
      <c r="A23" t="s">
        <v>80</v>
      </c>
      <c r="B23" s="7">
        <v>2757</v>
      </c>
      <c r="C23" s="7">
        <v>727</v>
      </c>
      <c r="D23" s="7">
        <v>36350</v>
      </c>
      <c r="E23" s="7">
        <v>102474</v>
      </c>
      <c r="F23" s="7"/>
      <c r="G23" s="7"/>
      <c r="H23" s="7">
        <v>3</v>
      </c>
      <c r="I23" s="7"/>
      <c r="J23" s="7">
        <v>17704</v>
      </c>
      <c r="K23" s="7"/>
      <c r="L23" s="7">
        <v>160011</v>
      </c>
    </row>
    <row r="24" spans="1:12" x14ac:dyDescent="0.35">
      <c r="A24" t="s">
        <v>82</v>
      </c>
      <c r="B24" s="7"/>
      <c r="C24" s="7"/>
      <c r="D24" s="7">
        <v>134018</v>
      </c>
      <c r="E24" s="7">
        <v>7038</v>
      </c>
      <c r="F24" s="7"/>
      <c r="G24" s="7"/>
      <c r="H24" s="7"/>
      <c r="I24" s="7"/>
      <c r="J24" s="7">
        <v>41</v>
      </c>
      <c r="K24" s="7"/>
      <c r="L24" s="7">
        <v>141098</v>
      </c>
    </row>
    <row r="25" spans="1:12" x14ac:dyDescent="0.35">
      <c r="A25" t="s">
        <v>86</v>
      </c>
      <c r="B25" s="7">
        <v>9</v>
      </c>
      <c r="C25" s="7"/>
      <c r="D25" s="7">
        <v>13102</v>
      </c>
      <c r="E25" s="7">
        <v>41097</v>
      </c>
      <c r="F25" s="7"/>
      <c r="G25" s="7"/>
      <c r="H25" s="7">
        <v>200</v>
      </c>
      <c r="I25" s="7">
        <v>428</v>
      </c>
      <c r="J25" s="7">
        <v>32486</v>
      </c>
      <c r="K25" s="7"/>
      <c r="L25" s="7">
        <v>87319</v>
      </c>
    </row>
    <row r="26" spans="1:12" x14ac:dyDescent="0.35">
      <c r="A26" t="s">
        <v>88</v>
      </c>
      <c r="B26" s="7"/>
      <c r="C26" s="7"/>
      <c r="D26" s="7">
        <v>1221</v>
      </c>
      <c r="E26" s="7">
        <v>12470</v>
      </c>
      <c r="F26" s="7"/>
      <c r="G26" s="7"/>
      <c r="H26" s="7">
        <v>72</v>
      </c>
      <c r="I26" s="7">
        <v>268</v>
      </c>
      <c r="J26" s="7">
        <v>22045</v>
      </c>
      <c r="K26" s="7"/>
      <c r="L26" s="7">
        <v>36075</v>
      </c>
    </row>
    <row r="27" spans="1:12" x14ac:dyDescent="0.35">
      <c r="A27" t="s">
        <v>90</v>
      </c>
      <c r="B27" s="7"/>
      <c r="C27" s="7"/>
      <c r="D27" s="7">
        <v>2916</v>
      </c>
      <c r="E27" s="7">
        <v>1914</v>
      </c>
      <c r="F27" s="7"/>
      <c r="G27" s="7"/>
      <c r="H27" s="7"/>
      <c r="I27" s="7"/>
      <c r="J27" s="7">
        <v>4092</v>
      </c>
      <c r="K27" s="7"/>
      <c r="L27" s="7">
        <v>8922</v>
      </c>
    </row>
    <row r="28" spans="1:12" x14ac:dyDescent="0.35">
      <c r="A28" t="s">
        <v>92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</row>
    <row r="29" spans="1:12" x14ac:dyDescent="0.35">
      <c r="A29" t="s">
        <v>94</v>
      </c>
      <c r="B29" s="7"/>
      <c r="C29" s="7"/>
      <c r="D29" s="7">
        <v>1134</v>
      </c>
      <c r="E29" s="7">
        <v>38</v>
      </c>
      <c r="F29" s="7"/>
      <c r="G29" s="7"/>
      <c r="H29" s="7"/>
      <c r="I29" s="7">
        <v>172</v>
      </c>
      <c r="J29" s="7">
        <v>4642</v>
      </c>
      <c r="K29" s="7"/>
      <c r="L29" s="7">
        <v>5986</v>
      </c>
    </row>
    <row r="30" spans="1:12" x14ac:dyDescent="0.35">
      <c r="A30" t="s">
        <v>236</v>
      </c>
      <c r="B30" s="7">
        <v>312</v>
      </c>
      <c r="C30" s="7"/>
      <c r="D30" s="7">
        <v>54403</v>
      </c>
      <c r="E30" s="7">
        <v>24852</v>
      </c>
      <c r="F30" s="7"/>
      <c r="G30" s="7"/>
      <c r="H30" s="7"/>
      <c r="I30" s="7"/>
      <c r="J30" s="7"/>
      <c r="K30" s="7"/>
      <c r="L30" s="7">
        <v>79568</v>
      </c>
    </row>
    <row r="32" spans="1:12" x14ac:dyDescent="0.35">
      <c r="B32" s="7">
        <f>SUM(B9,B10:B21,B22*-1)</f>
        <v>-1</v>
      </c>
      <c r="C32" s="7">
        <f t="shared" ref="C32:L32" si="0">SUM(C9,C10:C21,C22*-1)</f>
        <v>5</v>
      </c>
      <c r="D32" s="7">
        <f t="shared" si="0"/>
        <v>-3</v>
      </c>
      <c r="E32" s="7">
        <f t="shared" si="0"/>
        <v>-2</v>
      </c>
      <c r="F32" s="7">
        <f t="shared" si="0"/>
        <v>0</v>
      </c>
      <c r="G32" s="7">
        <f t="shared" si="0"/>
        <v>0</v>
      </c>
      <c r="H32" s="7">
        <f t="shared" si="0"/>
        <v>1</v>
      </c>
      <c r="I32" s="7">
        <f t="shared" si="0"/>
        <v>0</v>
      </c>
      <c r="J32" s="7">
        <f t="shared" si="0"/>
        <v>3</v>
      </c>
      <c r="K32" s="7">
        <f t="shared" si="0"/>
        <v>0</v>
      </c>
      <c r="L32" s="7">
        <f t="shared" si="0"/>
        <v>-4</v>
      </c>
    </row>
  </sheetData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Ark6"/>
  <dimension ref="A1:AH30"/>
  <sheetViews>
    <sheetView topLeftCell="Q1" zoomScale="130" zoomScaleNormal="130" workbookViewId="0">
      <selection sqref="A1:AJ26"/>
    </sheetView>
  </sheetViews>
  <sheetFormatPr defaultRowHeight="14.5" x14ac:dyDescent="0.35"/>
  <cols>
    <col min="3" max="3" width="16.453125" customWidth="1"/>
    <col min="4" max="4" width="12.81640625" customWidth="1"/>
    <col min="5" max="5" width="12.54296875" customWidth="1"/>
    <col min="6" max="6" width="16.54296875" customWidth="1"/>
    <col min="10" max="10" width="12.54296875" customWidth="1"/>
    <col min="11" max="11" width="11.54296875" customWidth="1"/>
    <col min="14" max="14" width="10.81640625" customWidth="1"/>
    <col min="15" max="15" width="51.54296875" customWidth="1"/>
    <col min="16" max="18" width="15.81640625" customWidth="1"/>
    <col min="19" max="19" width="12.81640625" customWidth="1"/>
    <col min="24" max="24" width="14.1796875" bestFit="1" customWidth="1"/>
    <col min="33" max="34" width="11.26953125" customWidth="1"/>
  </cols>
  <sheetData>
    <row r="1" spans="1:34" ht="140" x14ac:dyDescent="0.35">
      <c r="B1" s="44" t="s">
        <v>0</v>
      </c>
      <c r="C1" s="3" t="s">
        <v>1</v>
      </c>
      <c r="D1" s="8" t="s">
        <v>2</v>
      </c>
      <c r="E1" s="2" t="s">
        <v>3</v>
      </c>
      <c r="F1" s="3" t="s">
        <v>4</v>
      </c>
      <c r="G1" s="1" t="s">
        <v>5</v>
      </c>
      <c r="H1" s="1" t="s">
        <v>6</v>
      </c>
      <c r="I1" s="1" t="s">
        <v>7</v>
      </c>
      <c r="J1" s="3" t="s">
        <v>8</v>
      </c>
      <c r="K1" s="2" t="s">
        <v>9</v>
      </c>
      <c r="L1" s="2" t="s">
        <v>10</v>
      </c>
      <c r="M1" s="17" t="s">
        <v>11</v>
      </c>
      <c r="N1" s="5" t="s">
        <v>12</v>
      </c>
      <c r="O1" s="4" t="s">
        <v>254</v>
      </c>
      <c r="P1" s="60"/>
      <c r="Q1" s="60"/>
      <c r="R1" s="12" t="s">
        <v>14</v>
      </c>
      <c r="S1" s="11" t="s">
        <v>15</v>
      </c>
      <c r="T1" s="12" t="s">
        <v>16</v>
      </c>
      <c r="U1" s="44" t="s">
        <v>17</v>
      </c>
      <c r="V1" s="3" t="s">
        <v>1</v>
      </c>
      <c r="W1" s="8" t="s">
        <v>2</v>
      </c>
      <c r="X1" s="9" t="s">
        <v>3</v>
      </c>
      <c r="Y1" s="3" t="s">
        <v>4</v>
      </c>
      <c r="Z1" s="1" t="s">
        <v>5</v>
      </c>
      <c r="AA1" s="1" t="s">
        <v>6</v>
      </c>
      <c r="AB1" s="1" t="s">
        <v>7</v>
      </c>
      <c r="AC1" s="3" t="s">
        <v>8</v>
      </c>
      <c r="AD1" s="2" t="s">
        <v>9</v>
      </c>
      <c r="AE1" s="2" t="s">
        <v>10</v>
      </c>
      <c r="AF1" s="17" t="s">
        <v>11</v>
      </c>
      <c r="AG1" s="13" t="s">
        <v>18</v>
      </c>
      <c r="AH1" s="13" t="s">
        <v>19</v>
      </c>
    </row>
    <row r="2" spans="1:34" ht="24.75" customHeight="1" x14ac:dyDescent="0.35">
      <c r="A2" s="45" t="s">
        <v>20</v>
      </c>
      <c r="B2" s="46" t="s">
        <v>21</v>
      </c>
      <c r="C2" s="46" t="s">
        <v>22</v>
      </c>
      <c r="D2" s="46" t="s">
        <v>23</v>
      </c>
      <c r="E2" s="47" t="s">
        <v>24</v>
      </c>
      <c r="F2" s="46" t="s">
        <v>25</v>
      </c>
      <c r="G2" s="46" t="s">
        <v>26</v>
      </c>
      <c r="H2" s="46" t="s">
        <v>27</v>
      </c>
      <c r="I2" s="46" t="s">
        <v>28</v>
      </c>
      <c r="J2" s="48" t="s">
        <v>29</v>
      </c>
      <c r="K2" s="47" t="s">
        <v>30</v>
      </c>
      <c r="L2" s="49" t="s">
        <v>31</v>
      </c>
      <c r="M2" s="49" t="s">
        <v>32</v>
      </c>
      <c r="N2" s="50" t="s">
        <v>33</v>
      </c>
      <c r="O2" s="51"/>
      <c r="P2" s="52" t="s">
        <v>20</v>
      </c>
      <c r="Q2" s="53" t="s">
        <v>34</v>
      </c>
      <c r="R2" s="50" t="s">
        <v>35</v>
      </c>
      <c r="S2" s="54" t="s">
        <v>36</v>
      </c>
      <c r="T2" s="50" t="s">
        <v>37</v>
      </c>
      <c r="U2" s="46" t="s">
        <v>38</v>
      </c>
      <c r="V2" s="46" t="s">
        <v>39</v>
      </c>
      <c r="W2" s="46" t="s">
        <v>40</v>
      </c>
      <c r="X2" s="47" t="s">
        <v>41</v>
      </c>
      <c r="Y2" s="46" t="s">
        <v>42</v>
      </c>
      <c r="Z2" s="46" t="s">
        <v>43</v>
      </c>
      <c r="AA2" s="46" t="s">
        <v>44</v>
      </c>
      <c r="AB2" s="46" t="s">
        <v>45</v>
      </c>
      <c r="AC2" s="46" t="s">
        <v>46</v>
      </c>
      <c r="AD2" s="47" t="s">
        <v>47</v>
      </c>
      <c r="AE2" s="47" t="s">
        <v>48</v>
      </c>
      <c r="AF2" s="49" t="s">
        <v>49</v>
      </c>
      <c r="AG2" s="46" t="s">
        <v>50</v>
      </c>
      <c r="AH2" s="46" t="s">
        <v>51</v>
      </c>
    </row>
    <row r="3" spans="1:34" ht="24.75" customHeight="1" x14ac:dyDescent="0.35">
      <c r="A3" s="45" t="s">
        <v>34</v>
      </c>
      <c r="B3" s="55"/>
      <c r="C3" s="56" t="s">
        <v>52</v>
      </c>
      <c r="D3" s="56" t="s">
        <v>52</v>
      </c>
      <c r="E3" s="56" t="s">
        <v>21</v>
      </c>
      <c r="F3" s="56" t="s">
        <v>21</v>
      </c>
      <c r="G3" s="56" t="s">
        <v>21</v>
      </c>
      <c r="H3" s="56" t="s">
        <v>52</v>
      </c>
      <c r="I3" s="56" t="s">
        <v>52</v>
      </c>
      <c r="J3" s="56" t="s">
        <v>21</v>
      </c>
      <c r="K3" s="56" t="s">
        <v>21</v>
      </c>
      <c r="L3" s="57" t="s">
        <v>21</v>
      </c>
      <c r="M3" s="57" t="s">
        <v>21</v>
      </c>
      <c r="N3" s="50"/>
      <c r="O3" s="51" t="s">
        <v>53</v>
      </c>
      <c r="P3" s="52"/>
      <c r="Q3" s="53"/>
      <c r="R3" s="74"/>
      <c r="S3" s="58"/>
      <c r="T3" s="59"/>
      <c r="U3" s="55"/>
      <c r="V3" s="56" t="s">
        <v>38</v>
      </c>
      <c r="W3" s="56" t="s">
        <v>38</v>
      </c>
      <c r="X3" s="56" t="s">
        <v>38</v>
      </c>
      <c r="Y3" s="56" t="s">
        <v>38</v>
      </c>
      <c r="Z3" s="56" t="s">
        <v>38</v>
      </c>
      <c r="AA3" s="56" t="s">
        <v>38</v>
      </c>
      <c r="AB3" s="56" t="s">
        <v>54</v>
      </c>
      <c r="AC3" s="56" t="s">
        <v>38</v>
      </c>
      <c r="AD3" s="56" t="s">
        <v>38</v>
      </c>
      <c r="AE3" s="56" t="s">
        <v>38</v>
      </c>
      <c r="AF3" s="57" t="s">
        <v>38</v>
      </c>
      <c r="AG3" s="56"/>
      <c r="AH3" s="56"/>
    </row>
    <row r="4" spans="1:34" ht="24.75" customHeight="1" x14ac:dyDescent="0.35">
      <c r="A4" s="72" t="s">
        <v>55</v>
      </c>
      <c r="B4" s="72"/>
      <c r="C4" s="56"/>
      <c r="D4" s="56"/>
      <c r="E4" s="56"/>
      <c r="F4" s="56"/>
      <c r="G4" s="56"/>
      <c r="H4" s="56"/>
      <c r="I4" s="56"/>
      <c r="J4" s="56"/>
      <c r="K4" s="56"/>
      <c r="L4" s="57"/>
      <c r="M4" s="57"/>
      <c r="N4" s="50"/>
      <c r="O4" s="51"/>
      <c r="P4" s="73"/>
      <c r="Q4" s="53"/>
      <c r="R4" s="74"/>
      <c r="S4" s="58"/>
      <c r="T4" s="59"/>
      <c r="U4" s="55">
        <f>B4</f>
        <v>0</v>
      </c>
      <c r="V4" s="56"/>
      <c r="W4" s="56"/>
      <c r="X4" s="56"/>
      <c r="Y4" s="56"/>
      <c r="Z4" s="56"/>
      <c r="AA4" s="56"/>
      <c r="AB4" s="56"/>
      <c r="AC4" s="56"/>
      <c r="AD4" s="56"/>
      <c r="AE4" s="56"/>
      <c r="AF4" s="57"/>
      <c r="AG4" s="56">
        <f>U4</f>
        <v>0</v>
      </c>
      <c r="AH4" s="56">
        <f>U4</f>
        <v>0</v>
      </c>
    </row>
    <row r="5" spans="1:34" x14ac:dyDescent="0.35">
      <c r="C5" s="14"/>
      <c r="D5" s="14"/>
      <c r="E5" s="14"/>
      <c r="F5" s="14"/>
      <c r="G5" s="14"/>
      <c r="H5" s="14"/>
      <c r="I5" s="14"/>
      <c r="J5" s="14"/>
      <c r="K5" s="14"/>
      <c r="L5" s="14"/>
      <c r="M5" s="14"/>
      <c r="N5" s="23">
        <f>SUM(C5:M5)</f>
        <v>0</v>
      </c>
      <c r="O5" s="10" t="s">
        <v>56</v>
      </c>
      <c r="P5" s="62" t="s">
        <v>57</v>
      </c>
      <c r="Q5" s="63"/>
      <c r="R5" s="63"/>
      <c r="S5" s="24">
        <f>SUM(V5:AF5)</f>
        <v>30558.399259079677</v>
      </c>
      <c r="T5" s="37"/>
      <c r="U5" s="61"/>
      <c r="V5" s="14">
        <f>-(C6+C5)</f>
        <v>4380.0938334801294</v>
      </c>
      <c r="W5" s="14">
        <f>-(D6+D5)</f>
        <v>8059.4014440889923</v>
      </c>
      <c r="X5" s="14"/>
      <c r="Y5" s="14">
        <f>-(F6+F5)</f>
        <v>4963.0094920231932</v>
      </c>
      <c r="Z5" s="14">
        <f>-(G6+G5)</f>
        <v>128.91884341136875</v>
      </c>
      <c r="AA5" s="14"/>
      <c r="AB5" s="14"/>
      <c r="AC5" s="14">
        <f>-(J6+J5)</f>
        <v>13026.975646075996</v>
      </c>
      <c r="AD5" s="14"/>
      <c r="AE5" s="14"/>
      <c r="AF5" s="14"/>
      <c r="AG5" s="14"/>
      <c r="AH5" s="14"/>
    </row>
    <row r="6" spans="1:34" x14ac:dyDescent="0.35">
      <c r="C6" s="14">
        <f>-V6</f>
        <v>-4380.0938334801294</v>
      </c>
      <c r="D6" s="14">
        <f>-W6</f>
        <v>-8059.4014440889923</v>
      </c>
      <c r="E6" s="14"/>
      <c r="F6" s="14">
        <f>-Y6</f>
        <v>-4963.0094920231932</v>
      </c>
      <c r="G6" s="14">
        <f>-Z6</f>
        <v>-128.91884341136875</v>
      </c>
      <c r="H6" s="14"/>
      <c r="I6" s="14"/>
      <c r="J6" s="14">
        <f>-AC6</f>
        <v>-13026.975646075996</v>
      </c>
      <c r="K6" s="14"/>
      <c r="L6" s="18"/>
      <c r="M6" s="18"/>
      <c r="N6" s="23">
        <f t="shared" ref="N6:N15" si="0">SUM(C6:M6)</f>
        <v>-30558.399259079677</v>
      </c>
      <c r="O6" s="22" t="s">
        <v>58</v>
      </c>
      <c r="P6" s="65" t="s">
        <v>59</v>
      </c>
      <c r="Q6" s="66"/>
      <c r="R6" s="66"/>
      <c r="S6" s="24">
        <f t="shared" ref="S6:S25" si="1">SUM(V6:AF6)</f>
        <v>30558.399259079677</v>
      </c>
      <c r="T6" s="37"/>
      <c r="U6" s="61"/>
      <c r="V6" s="14">
        <f>-(C16+C8)</f>
        <v>4380.0938334801294</v>
      </c>
      <c r="W6" s="14">
        <f>-(D16+D8)</f>
        <v>8059.4014440889923</v>
      </c>
      <c r="X6" s="14"/>
      <c r="Y6" s="14">
        <f>-(F16+F8)</f>
        <v>4963.0094920231932</v>
      </c>
      <c r="Z6" s="14">
        <f>-(G16+G8)</f>
        <v>128.91884341136875</v>
      </c>
      <c r="AA6" s="14"/>
      <c r="AB6" s="14"/>
      <c r="AC6" s="14">
        <f>-(J16+J8)</f>
        <v>13026.975646075996</v>
      </c>
      <c r="AD6" s="14"/>
      <c r="AE6" s="14"/>
      <c r="AF6" s="14"/>
      <c r="AG6" s="21">
        <f>-(N6+S6)</f>
        <v>0</v>
      </c>
      <c r="AH6" s="21"/>
    </row>
    <row r="7" spans="1:34" x14ac:dyDescent="0.35"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23">
        <f t="shared" si="0"/>
        <v>0</v>
      </c>
      <c r="O7" s="22" t="s">
        <v>60</v>
      </c>
      <c r="P7" s="67" t="s">
        <v>61</v>
      </c>
      <c r="Q7" s="66"/>
      <c r="R7" s="66"/>
      <c r="S7" s="24">
        <f t="shared" si="1"/>
        <v>770.49146163612818</v>
      </c>
      <c r="T7" s="37"/>
      <c r="U7" s="61"/>
      <c r="V7" s="14"/>
      <c r="W7" s="14"/>
      <c r="X7" s="14"/>
      <c r="Y7" s="14"/>
      <c r="Z7" s="16"/>
      <c r="AA7" s="19">
        <f>-H8</f>
        <v>484.77560414684814</v>
      </c>
      <c r="AB7" s="19">
        <f>-I8</f>
        <v>285.71585748927998</v>
      </c>
      <c r="AC7" s="14"/>
      <c r="AD7" s="14"/>
      <c r="AE7" s="14"/>
      <c r="AF7" s="14"/>
      <c r="AG7" s="14"/>
      <c r="AH7" s="14"/>
    </row>
    <row r="8" spans="1:34" x14ac:dyDescent="0.35">
      <c r="C8" s="14">
        <f>SUM(C9:C13)</f>
        <v>-3395.1538697711439</v>
      </c>
      <c r="D8" s="14">
        <f t="shared" ref="D8:M8" si="2">SUM(D9:D13)</f>
        <v>-8059.4014440889923</v>
      </c>
      <c r="E8" s="14">
        <f t="shared" si="2"/>
        <v>-891.26169018135897</v>
      </c>
      <c r="F8" s="14">
        <f t="shared" si="2"/>
        <v>-3547.4051587811668</v>
      </c>
      <c r="G8" s="14">
        <f t="shared" si="2"/>
        <v>-128.91884341136875</v>
      </c>
      <c r="H8" s="14">
        <f t="shared" si="2"/>
        <v>-484.77560414684814</v>
      </c>
      <c r="I8" s="14">
        <f t="shared" si="2"/>
        <v>-285.71585748927998</v>
      </c>
      <c r="J8" s="14">
        <f t="shared" si="2"/>
        <v>-35.034967351761857</v>
      </c>
      <c r="K8" s="14">
        <f t="shared" si="2"/>
        <v>-191.06193600000003</v>
      </c>
      <c r="L8" s="14">
        <f t="shared" si="2"/>
        <v>0</v>
      </c>
      <c r="M8" s="14">
        <f t="shared" si="2"/>
        <v>0</v>
      </c>
      <c r="N8" s="23">
        <f t="shared" si="0"/>
        <v>-17018.729371221918</v>
      </c>
      <c r="O8" s="22" t="s">
        <v>62</v>
      </c>
      <c r="P8" s="67" t="s">
        <v>63</v>
      </c>
      <c r="Q8" s="66"/>
      <c r="R8" s="66"/>
      <c r="S8" s="24">
        <f t="shared" si="1"/>
        <v>10772.846759197761</v>
      </c>
      <c r="T8" s="37"/>
      <c r="U8" s="61"/>
      <c r="V8" s="14">
        <f>SUM(V9:V13)</f>
        <v>0</v>
      </c>
      <c r="W8" s="14"/>
      <c r="X8" s="14">
        <f>(E14+E8)*-1</f>
        <v>7692.3853590218532</v>
      </c>
      <c r="Y8" s="14"/>
      <c r="Z8" s="14"/>
      <c r="AA8" s="14"/>
      <c r="AB8" s="14"/>
      <c r="AC8" s="14"/>
      <c r="AD8" s="14">
        <f>(K14+K8)*-1</f>
        <v>3080.4614001759064</v>
      </c>
      <c r="AE8" s="14">
        <f>(L14+L8)*-1</f>
        <v>0</v>
      </c>
      <c r="AF8" s="14"/>
      <c r="AG8" s="21">
        <f>-(N8+S8)</f>
        <v>6245.8826120241574</v>
      </c>
      <c r="AH8" s="21">
        <f>SUM(AH9:AH13)</f>
        <v>592.47760013256857</v>
      </c>
    </row>
    <row r="9" spans="1:34" x14ac:dyDescent="0.35">
      <c r="C9" s="26">
        <f>-($AD$9+$H$9+$I$9)/$T$9*' KF Africa'!$I109</f>
        <v>-2804.4655657711442</v>
      </c>
      <c r="D9" s="26">
        <f>-($AD$9+$H$9+$I$9)/$T$9*' KF Africa'!$I110</f>
        <v>-34.611953318928961</v>
      </c>
      <c r="E9" s="26">
        <f>-($AD$9+$H$9+$I$9)/$T$9*' KF Africa'!$I111</f>
        <v>-750.82300218135902</v>
      </c>
      <c r="F9" s="26">
        <f>-($AD$9+$H$9+$I$9)/$T$9*' KF Africa'!$I112</f>
        <v>-2988.037110781167</v>
      </c>
      <c r="G9" s="26">
        <f>-($AD$9+$H$9+$I$9)/$T$9*' KF Africa'!$I113</f>
        <v>-128.91884341136875</v>
      </c>
      <c r="H9" s="26">
        <f>AD9*' KF Africa'!I94*-1</f>
        <v>-484.77560414684814</v>
      </c>
      <c r="I9" s="26">
        <f>AD9*' KF Africa'!I95*-1</f>
        <v>-285.71585748927998</v>
      </c>
      <c r="J9" s="26">
        <f>-($AD$9+$H$9+$I$9)/$T$9*' KF Africa'!$I114</f>
        <v>-34.82560735176186</v>
      </c>
      <c r="K9" s="25"/>
      <c r="L9" s="25"/>
      <c r="M9" s="25"/>
      <c r="N9" s="23">
        <f t="shared" si="0"/>
        <v>-7512.1735444518581</v>
      </c>
      <c r="O9" s="6" t="s">
        <v>64</v>
      </c>
      <c r="P9" s="68" t="s">
        <v>65</v>
      </c>
      <c r="Q9" s="69" t="s">
        <v>63</v>
      </c>
      <c r="R9" s="69"/>
      <c r="S9" s="24">
        <f t="shared" si="1"/>
        <v>3080.4614001759064</v>
      </c>
      <c r="T9" s="37">
        <f>' KF Africa'!I104</f>
        <v>0.34263999846978788</v>
      </c>
      <c r="U9" s="61"/>
      <c r="V9" s="28"/>
      <c r="W9" s="28"/>
      <c r="X9" s="28"/>
      <c r="Y9" s="28"/>
      <c r="Z9" s="28"/>
      <c r="AA9" s="28"/>
      <c r="AB9" s="28"/>
      <c r="AC9" s="28"/>
      <c r="AD9" s="28">
        <f>AD8-AD10</f>
        <v>3080.4614001759064</v>
      </c>
      <c r="AE9" s="28"/>
      <c r="AF9" s="28"/>
      <c r="AG9" s="29">
        <f>-(S9+N9)</f>
        <v>4431.7121442759517</v>
      </c>
      <c r="AH9" s="29">
        <f>-(C9*Emissionsfaktorer!$B$2*(1-' KF Africa'!I134)+D9*Emissionsfaktorer!$B$3+E9*Emissionsfaktorer!$B$4*(1-' KF Africa'!I135)+F9*Emissionsfaktorer!$B$5*(1-' KF Africa'!I136)+G9*Emissionsfaktorer!$B$6+H9*Emissionsfaktorer!$B$7+I9*Emissionsfaktorer!$B$8-J9*Emissionsfaktorer!B13*' KF Africa'!I137+K9*Emissionsfaktorer!$B$10+L9*Emissionsfaktorer!$B$11+M9*Emissionsfaktorer!$B$12)</f>
        <v>493.80489222856852</v>
      </c>
    </row>
    <row r="10" spans="1:34" x14ac:dyDescent="0.35">
      <c r="C10" s="26">
        <f>-($AD$10+$AE$10+$H$10+$I$10)/$T$10*' KF Africa'!$I116</f>
        <v>0</v>
      </c>
      <c r="D10" s="26">
        <f>-($AD$10+$AE$10+$H$10+$I$10)/$T$10*' KF Africa'!$I117</f>
        <v>0</v>
      </c>
      <c r="E10" s="26">
        <f>-($AD$10+$AE$10+$H$10+$I$10)/$T$10*' KF Africa'!$I118</f>
        <v>0</v>
      </c>
      <c r="F10" s="26">
        <f>-($AD$10+$AE$10+$H$10+$I$10)/$T$10*' KF Africa'!$I119</f>
        <v>0</v>
      </c>
      <c r="G10" s="26">
        <f>-($AD$10+$AE$10+$H$10+$I$10)/$T$10*' KF Africa'!$I120</f>
        <v>0</v>
      </c>
      <c r="H10" s="26"/>
      <c r="I10" s="26">
        <f>(AD10+AE10)*' KF Africa'!I98*-1</f>
        <v>0</v>
      </c>
      <c r="J10" s="26">
        <f>-($AD$10+$AE$10+$H$10+$I$10)/$T$10*' KF Africa'!$I121</f>
        <v>0</v>
      </c>
      <c r="K10" s="25"/>
      <c r="L10" s="25"/>
      <c r="M10" s="25"/>
      <c r="N10" s="23">
        <f t="shared" si="0"/>
        <v>0</v>
      </c>
      <c r="O10" s="6" t="s">
        <v>66</v>
      </c>
      <c r="P10" s="68" t="s">
        <v>67</v>
      </c>
      <c r="Q10" s="69" t="s">
        <v>63</v>
      </c>
      <c r="R10" s="69"/>
      <c r="S10" s="24">
        <f t="shared" si="1"/>
        <v>0</v>
      </c>
      <c r="T10" s="37">
        <f>' KF Africa'!I105</f>
        <v>0.22613065326633167</v>
      </c>
      <c r="U10" s="61"/>
      <c r="V10" s="28"/>
      <c r="W10" s="28"/>
      <c r="X10" s="28"/>
      <c r="Y10" s="28"/>
      <c r="Z10" s="28"/>
      <c r="AA10" s="28"/>
      <c r="AB10" s="28"/>
      <c r="AC10" s="28"/>
      <c r="AD10" s="28">
        <f>AE10*' KF Africa'!I90</f>
        <v>0</v>
      </c>
      <c r="AE10" s="28">
        <f>AE8*' KF Africa'!I85</f>
        <v>0</v>
      </c>
      <c r="AF10" s="28"/>
      <c r="AG10" s="29">
        <f t="shared" ref="AG10:AG11" si="3">-(S10+N10)</f>
        <v>0</v>
      </c>
      <c r="AH10" s="29">
        <f>-(C10*Emissionsfaktorer!$B$2*(1-' KF Africa'!I135)+D10*Emissionsfaktorer!$B$3+E10*Emissionsfaktorer!$B$4*(1-' KF Africa'!I136)+F10*Emissionsfaktorer!$B$5*(1-' KF Africa'!I137)+G10*Emissionsfaktorer!$B$6+H10*Emissionsfaktorer!$B$7+I10*Emissionsfaktorer!$B$8-J10*Emissionsfaktorer!B14*' KF Africa'!I142+K10*Emissionsfaktorer!$B$10+L10*Emissionsfaktorer!$B$11+M10*Emissionsfaktorer!$B$12)</f>
        <v>0</v>
      </c>
    </row>
    <row r="11" spans="1:34" x14ac:dyDescent="0.35">
      <c r="C11" s="26">
        <f>-($AE$11+$H$11+$I$11)/IF($T$11=0,1,$T$11)*' KF Africa'!$I123</f>
        <v>0</v>
      </c>
      <c r="D11" s="26">
        <f>-($AE$11+$H$11+$I$11)/IF($T$11=0,1,$T$11)*' KF Africa'!$I123</f>
        <v>0</v>
      </c>
      <c r="E11" s="26">
        <f>-($AE$11+$H$11+$I$11)/IF($T$11=0,1,$T$11)*' KF Africa'!$I123</f>
        <v>0</v>
      </c>
      <c r="F11" s="26">
        <f>-($AE$11+$H$11+$I$11)/IF($T$11=0,1,$T$11)*' KF Africa'!$I123</f>
        <v>0</v>
      </c>
      <c r="G11" s="26">
        <f>-($AE$11+$H$11+$I$11)/IF($T$11=0,1,$T$11)*' KF Africa'!$I123</f>
        <v>0</v>
      </c>
      <c r="H11" s="26"/>
      <c r="I11" s="26">
        <f>AE11*' KF Africa'!I101*-1</f>
        <v>0</v>
      </c>
      <c r="J11" s="26">
        <f>-($AE$11+$H$11+$I$11)/IF($T$11=0,1,$T$11)*' KF Africa'!$I128</f>
        <v>0</v>
      </c>
      <c r="K11" s="28">
        <f>AE11*' KF Africa'!I88*-1</f>
        <v>0</v>
      </c>
      <c r="L11" s="25"/>
      <c r="M11" s="25"/>
      <c r="N11" s="23">
        <f t="shared" si="0"/>
        <v>0</v>
      </c>
      <c r="O11" s="6" t="s">
        <v>68</v>
      </c>
      <c r="P11" s="64" t="s">
        <v>69</v>
      </c>
      <c r="Q11" s="69" t="s">
        <v>63</v>
      </c>
      <c r="R11" s="69"/>
      <c r="S11" s="24">
        <f t="shared" si="1"/>
        <v>0</v>
      </c>
      <c r="T11" s="37">
        <f>' KF Africa'!I106</f>
        <v>0</v>
      </c>
      <c r="U11" s="61"/>
      <c r="V11" s="28"/>
      <c r="W11" s="28"/>
      <c r="X11" s="28"/>
      <c r="Y11" s="28"/>
      <c r="Z11" s="28"/>
      <c r="AA11" s="28"/>
      <c r="AB11" s="28"/>
      <c r="AC11" s="28"/>
      <c r="AD11" s="28"/>
      <c r="AE11" s="28">
        <f>AE8*' KF Africa'!I86</f>
        <v>0</v>
      </c>
      <c r="AF11" s="28"/>
      <c r="AG11" s="29">
        <f t="shared" si="3"/>
        <v>0</v>
      </c>
      <c r="AH11" s="29">
        <f>-(C11*Emissionsfaktorer!$B$2+D11*Emissionsfaktorer!$B$3+E11*Emissionsfaktorer!$B$4+F11*Emissionsfaktorer!$B$5+G11*Emissionsfaktorer!$B$6+H11*Emissionsfaktorer!$B$7+I11*Emissionsfaktorer!$B$8+J11*Emissionsfaktorer!$B$9+K11*Emissionsfaktorer!$B$10+L11*Emissionsfaktorer!$B$11+M11*Emissionsfaktorer!$B$12)</f>
        <v>0</v>
      </c>
    </row>
    <row r="12" spans="1:34" x14ac:dyDescent="0.35">
      <c r="C12" s="26"/>
      <c r="D12" s="26">
        <f>-X12/IF(T12=0,1,T12)*' KF Africa'!I130</f>
        <v>-7996.2327867700633</v>
      </c>
      <c r="E12" s="25"/>
      <c r="F12" s="26"/>
      <c r="G12" s="26"/>
      <c r="H12" s="26"/>
      <c r="I12" s="26"/>
      <c r="J12" s="27">
        <f>-X12/IF(T12=0,1,T12)*' KF Africa'!I131</f>
        <v>0</v>
      </c>
      <c r="K12" s="25"/>
      <c r="L12" s="25"/>
      <c r="M12" s="25"/>
      <c r="N12" s="23">
        <f t="shared" si="0"/>
        <v>-7996.2327867700633</v>
      </c>
      <c r="O12" s="6" t="s">
        <v>70</v>
      </c>
      <c r="P12" s="64" t="s">
        <v>71</v>
      </c>
      <c r="Q12" s="69" t="s">
        <v>63</v>
      </c>
      <c r="R12" s="69"/>
      <c r="S12" s="24">
        <f t="shared" si="1"/>
        <v>7692.3853590218532</v>
      </c>
      <c r="T12" s="37">
        <f>' KF Africa'!I107</f>
        <v>0.96200117782327044</v>
      </c>
      <c r="U12" s="61"/>
      <c r="V12" s="28"/>
      <c r="W12" s="28"/>
      <c r="X12" s="28">
        <f>-(E9+E10+E11+E13+E14)</f>
        <v>7692.3853590218532</v>
      </c>
      <c r="Y12" s="28"/>
      <c r="Z12" s="28"/>
      <c r="AA12" s="28"/>
      <c r="AB12" s="28"/>
      <c r="AC12" s="28"/>
      <c r="AD12" s="28"/>
      <c r="AE12" s="28"/>
      <c r="AF12" s="28"/>
      <c r="AG12" s="29">
        <f>-(S12+N12)</f>
        <v>303.84742774821007</v>
      </c>
      <c r="AH12" s="29">
        <f>J12*Emissionsfaktorer!B4</f>
        <v>0</v>
      </c>
    </row>
    <row r="13" spans="1:34" x14ac:dyDescent="0.35">
      <c r="C13" s="28">
        <f>N13*' KF Africa'!I79</f>
        <v>-590.68830400000002</v>
      </c>
      <c r="D13" s="28">
        <f>N13*' KF Africa'!I81</f>
        <v>-28.556704</v>
      </c>
      <c r="E13" s="28">
        <f>N13*' KF Africa'!I82</f>
        <v>-140.43868799999998</v>
      </c>
      <c r="F13" s="28">
        <f>N13*' KF Africa'!I80</f>
        <v>-559.36804799999993</v>
      </c>
      <c r="G13" s="28"/>
      <c r="H13" s="28"/>
      <c r="I13" s="28"/>
      <c r="J13" s="36">
        <f>N13*' KF Africa'!I83</f>
        <v>-0.20935999999999999</v>
      </c>
      <c r="K13" s="28">
        <f>N13*' KF Africa'!I77</f>
        <v>-191.06193600000003</v>
      </c>
      <c r="L13" s="28">
        <f>N13*' KF Africa'!I78</f>
        <v>0</v>
      </c>
      <c r="M13" s="25"/>
      <c r="N13" s="23">
        <f>N16*' KF Africa'!I75</f>
        <v>-1510.32304</v>
      </c>
      <c r="O13" s="6" t="s">
        <v>72</v>
      </c>
      <c r="P13" s="64" t="s">
        <v>73</v>
      </c>
      <c r="Q13" s="69" t="s">
        <v>63</v>
      </c>
      <c r="R13" s="69"/>
      <c r="S13" s="24">
        <f t="shared" si="1"/>
        <v>0</v>
      </c>
      <c r="T13" s="37">
        <v>0</v>
      </c>
      <c r="U13" s="61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9">
        <f>-(S13+N13)</f>
        <v>1510.32304</v>
      </c>
      <c r="AH13" s="29">
        <f>-(C13*Emissionsfaktorer!$B$2+D13*Emissionsfaktorer!$B$3+E13*Emissionsfaktorer!$B$4+F13*Emissionsfaktorer!$B$5+G13*Emissionsfaktorer!$B$6+H13*Emissionsfaktorer!$B$7+I13*Emissionsfaktorer!$B$8+J13*Emissionsfaktorer!$B$9+K13*Emissionsfaktorer!$B$10+L13*Emissionsfaktorer!$B$11+M13*Emissionsfaktorer!$B$12)</f>
        <v>98.672707903999992</v>
      </c>
    </row>
    <row r="14" spans="1:34" x14ac:dyDescent="0.35">
      <c r="C14" s="15"/>
      <c r="D14" s="15"/>
      <c r="E14" s="16">
        <f>-X14*1</f>
        <v>-6801.1236688404942</v>
      </c>
      <c r="F14" s="15"/>
      <c r="G14" s="15"/>
      <c r="H14" s="15"/>
      <c r="I14" s="15"/>
      <c r="J14" s="20"/>
      <c r="K14" s="16">
        <f>-AD14*(1+' KF Africa'!I72)</f>
        <v>-2889.3994641759064</v>
      </c>
      <c r="L14" s="16">
        <f>-AE14*(1+' KF Africa'!I73)</f>
        <v>0</v>
      </c>
      <c r="M14" s="16"/>
      <c r="N14" s="23">
        <f t="shared" si="0"/>
        <v>-9690.5231330164006</v>
      </c>
      <c r="O14" s="22" t="s">
        <v>74</v>
      </c>
      <c r="P14" s="66" t="s">
        <v>75</v>
      </c>
      <c r="Q14" s="70"/>
      <c r="R14" s="70"/>
      <c r="S14" s="24">
        <f t="shared" si="1"/>
        <v>9251.1505085656754</v>
      </c>
      <c r="T14" s="37"/>
      <c r="U14" s="61"/>
      <c r="V14" s="16"/>
      <c r="W14" s="16"/>
      <c r="X14" s="16">
        <f>-E16</f>
        <v>6801.1236688404942</v>
      </c>
      <c r="Y14" s="16"/>
      <c r="Z14" s="16"/>
      <c r="AA14" s="16"/>
      <c r="AB14" s="16"/>
      <c r="AC14" s="16"/>
      <c r="AD14" s="16">
        <f>-K16</f>
        <v>2450.0268397251821</v>
      </c>
      <c r="AE14" s="16">
        <f>-L16</f>
        <v>0</v>
      </c>
      <c r="AF14" s="16"/>
      <c r="AG14" s="21">
        <f>-(N14+S14)</f>
        <v>439.3726244507252</v>
      </c>
      <c r="AH14" s="21"/>
    </row>
    <row r="15" spans="1:34" x14ac:dyDescent="0.35"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23">
        <f t="shared" si="0"/>
        <v>0</v>
      </c>
      <c r="O15" s="22" t="s">
        <v>76</v>
      </c>
      <c r="P15" s="67" t="s">
        <v>77</v>
      </c>
      <c r="Q15" s="66"/>
      <c r="R15" s="66"/>
      <c r="S15" s="24">
        <f t="shared" si="1"/>
        <v>7.8259714591028526</v>
      </c>
      <c r="T15" s="37"/>
      <c r="U15" s="61"/>
      <c r="V15" s="14"/>
      <c r="W15" s="14"/>
      <c r="X15" s="14"/>
      <c r="Y15" s="14"/>
      <c r="Z15" s="14"/>
      <c r="AA15" s="14"/>
      <c r="AB15" s="14">
        <f>I16*-1</f>
        <v>7.8259714591028526</v>
      </c>
      <c r="AC15" s="14"/>
      <c r="AD15" s="14"/>
      <c r="AE15" s="14"/>
      <c r="AF15" s="14"/>
      <c r="AG15" s="14"/>
      <c r="AH15" s="14"/>
    </row>
    <row r="16" spans="1:34" x14ac:dyDescent="0.35">
      <c r="C16" s="14">
        <f t="shared" ref="C16:M16" si="4">SUM(C17:C19)</f>
        <v>-984.93996370898572</v>
      </c>
      <c r="D16" s="14">
        <f t="shared" si="4"/>
        <v>0</v>
      </c>
      <c r="E16" s="14">
        <f t="shared" si="4"/>
        <v>-6801.1236688404942</v>
      </c>
      <c r="F16" s="14">
        <f t="shared" si="4"/>
        <v>-1415.6043332420263</v>
      </c>
      <c r="G16" s="14">
        <f t="shared" si="4"/>
        <v>0</v>
      </c>
      <c r="H16" s="14">
        <f t="shared" si="4"/>
        <v>0</v>
      </c>
      <c r="I16" s="14">
        <f t="shared" si="4"/>
        <v>-7.8259714591028526</v>
      </c>
      <c r="J16" s="14">
        <f t="shared" si="4"/>
        <v>-12991.940678724235</v>
      </c>
      <c r="K16" s="14">
        <f t="shared" si="4"/>
        <v>-2450.0268397251821</v>
      </c>
      <c r="L16" s="14">
        <f t="shared" si="4"/>
        <v>0</v>
      </c>
      <c r="M16" s="14">
        <f t="shared" si="4"/>
        <v>0</v>
      </c>
      <c r="N16" s="23">
        <f>' KF Africa'!I5</f>
        <v>-24654.736064000001</v>
      </c>
      <c r="O16" s="10" t="s">
        <v>78</v>
      </c>
      <c r="P16" s="71" t="s">
        <v>79</v>
      </c>
      <c r="Q16" s="71"/>
      <c r="R16" s="71"/>
      <c r="S16" s="24">
        <f t="shared" si="1"/>
        <v>17334.550292281812</v>
      </c>
      <c r="T16" s="37"/>
      <c r="U16" s="61"/>
      <c r="V16" s="14"/>
      <c r="W16" s="14"/>
      <c r="X16" s="14"/>
      <c r="Y16" s="14"/>
      <c r="Z16" s="14"/>
      <c r="AA16" s="14"/>
      <c r="AB16" s="14"/>
      <c r="AC16" s="14"/>
      <c r="AD16" s="14"/>
      <c r="AE16" s="14"/>
      <c r="AF16" s="14">
        <f>SUM(AF17:AF19)</f>
        <v>17334.550292281812</v>
      </c>
      <c r="AG16" s="14">
        <f t="shared" ref="AG16:AH16" si="5">SUM(AG17:AG19)</f>
        <v>7316.9111634182118</v>
      </c>
      <c r="AH16" s="14">
        <f t="shared" si="5"/>
        <v>691.14414237902679</v>
      </c>
    </row>
    <row r="17" spans="3:34" x14ac:dyDescent="0.35">
      <c r="C17" s="25">
        <f>AF17*' KF Africa'!I15/T17*' KF Africa'!I139/' KF Africa'!I$139*-1</f>
        <v>-623.69416346101866</v>
      </c>
      <c r="D17" s="25">
        <f>AF17*' KF Africa'!I16/T17*' KF Africa'!I139/' KF Africa'!I$139*-1</f>
        <v>0</v>
      </c>
      <c r="E17" s="25">
        <f>AF17*' KF Africa'!I17/T17*' KF Africa'!I139/' KF Africa'!I$139*-1</f>
        <v>-719.15755582750103</v>
      </c>
      <c r="F17" s="25">
        <f>AF17*' KF Africa'!I18/T17*' KF Africa'!I139/' KF Africa'!I$139*-1</f>
        <v>-826.84696160232249</v>
      </c>
      <c r="G17" s="25"/>
      <c r="H17" s="25"/>
      <c r="I17" s="25">
        <f>AF17*' KF Africa'!I19/T17*' KF Africa'!I142/' KF Africa'!I$142*-1</f>
        <v>0</v>
      </c>
      <c r="J17" s="25">
        <f>AF17*' KF Africa'!I20*' KF Africa'!I139/T17/' KF Africa'!I$139*-1</f>
        <v>-684.94984022951144</v>
      </c>
      <c r="K17" s="25">
        <f>AF17*' KF Africa'!I21*' KF Africa'!I141/T17/' KF Africa'!I$141*-1</f>
        <v>-949.73514431970227</v>
      </c>
      <c r="L17" s="25">
        <f>AF17*' KF Africa'!I22*' KF Africa'!I142/T17/' KF Africa'!I$142*-1</f>
        <v>0</v>
      </c>
      <c r="M17" s="25"/>
      <c r="N17" s="23">
        <f>SUM(C17:L17)</f>
        <v>-3804.3836654400557</v>
      </c>
      <c r="O17" s="6" t="s">
        <v>80</v>
      </c>
      <c r="P17" s="64" t="s">
        <v>81</v>
      </c>
      <c r="Q17" s="69" t="s">
        <v>79</v>
      </c>
      <c r="R17" s="69"/>
      <c r="S17" s="24">
        <f t="shared" si="1"/>
        <v>3185.967204</v>
      </c>
      <c r="T17" s="37">
        <f>(' KF Africa'!I15+' KF Africa'!I16+' KF Africa'!I17+' KF Africa'!I18+' KF Africa'!I20)*' KF Africa'!I139+(' KF Africa'!I19+' KF Africa'!I22)*' KF Africa'!I142+' KF Africa'!I21*' KF Africa'!I141</f>
        <v>0.83744634720785371</v>
      </c>
      <c r="U17" s="61"/>
      <c r="V17" s="25"/>
      <c r="W17" s="25"/>
      <c r="X17" s="25"/>
      <c r="Y17" s="25"/>
      <c r="Z17" s="25"/>
      <c r="AA17" s="25"/>
      <c r="AB17" s="25"/>
      <c r="AC17" s="25"/>
      <c r="AD17" s="25"/>
      <c r="AE17" s="25"/>
      <c r="AF17" s="25">
        <f>' KF Africa'!I5*' KF Africa'!I7*((' KF Africa'!G15+' KF Africa'!G16+' KF Africa'!G17+' KF Africa'!G18+' KF Africa'!G20)*' KF Africa'!G139+(' KF Africa'!G19+' KF Africa'!G22)*' KF Africa'!G142+' KF Africa'!G21*' KF Africa'!G141)*-1</f>
        <v>3185.967204</v>
      </c>
      <c r="AG17" s="25">
        <f>(S17+SUM(C17:M17))*-1</f>
        <v>618.41646144005563</v>
      </c>
      <c r="AH17" s="29">
        <f>-(C17*Emissionsfaktorer!$B$2+D17*Emissionsfaktorer!$B$3+E17*Emissionsfaktorer!$B$4+F17*Emissionsfaktorer!$B$5+G17*Emissionsfaktorer!$B$6+H17*Emissionsfaktorer!$B$7+I17*Emissionsfaktorer!$B$8+J17*Emissionsfaktorer!$B$9+K17*Emissionsfaktorer!$B$10+L17*Emissionsfaktorer!$B$11+M17*Emissionsfaktorer!$B$12)</f>
        <v>161.03719658301924</v>
      </c>
    </row>
    <row r="18" spans="3:34" x14ac:dyDescent="0.35">
      <c r="C18" s="25">
        <f>AF18*' KF Africa'!I24/T18*' KF Africa'!I140/' KF Africa'!I$140*-1</f>
        <v>-0.33480937936788729</v>
      </c>
      <c r="D18" s="25"/>
      <c r="E18" s="25">
        <f>AF18*' KF Africa'!I25/T18*' KF Africa'!I140/' KF Africa'!I$140*-1</f>
        <v>-5102.3693880493392</v>
      </c>
      <c r="F18" s="25">
        <f>AF18*' KF Africa'!I26/T18*' KF Africa'!I140/' KF Africa'!I$140*-1</f>
        <v>-51.183983870865774</v>
      </c>
      <c r="G18" s="25"/>
      <c r="H18" s="25"/>
      <c r="I18" s="25">
        <f>AF18*' KF Africa'!I27/T18*' KF Africa'!I142/' KF Africa'!I$142*-1</f>
        <v>0</v>
      </c>
      <c r="J18" s="25">
        <f>AF18*' KF Africa'!I28/T18*' KF Africa'!I140/' KF Africa'!I$140*-1</f>
        <v>-1.8414515865233803</v>
      </c>
      <c r="K18" s="25">
        <f>AF18*' KF Africa'!I29/T18*' KF Africa'!I141/' KF Africa'!I$141*-1</f>
        <v>-19.209688141232533</v>
      </c>
      <c r="L18" s="25">
        <f>AF18*' KF Africa'!I30/T18*' KF Africa'!I142/' KF Africa'!I$142*-1</f>
        <v>0</v>
      </c>
      <c r="M18" s="25"/>
      <c r="N18" s="23">
        <f>SUM(C18:L18)</f>
        <v>-5174.9393210273283</v>
      </c>
      <c r="O18" s="6" t="s">
        <v>82</v>
      </c>
      <c r="P18" s="64" t="s">
        <v>83</v>
      </c>
      <c r="Q18" s="69" t="s">
        <v>79</v>
      </c>
      <c r="R18" s="69"/>
      <c r="S18" s="24">
        <f t="shared" si="1"/>
        <v>1564.9680935999997</v>
      </c>
      <c r="T18" s="37">
        <f>(' KF Africa'!I24+' KF Africa'!I25+' KF Africa'!I26+' KF Africa'!I28)*' KF Africa'!I140+(' KF Africa'!I27+' KF Africa'!I30)*' KF Africa'!I142+' KF Africa'!I29*' KF Africa'!I141</f>
        <v>0.30241283936239899</v>
      </c>
      <c r="U18" s="61"/>
      <c r="V18" s="25"/>
      <c r="W18" s="25"/>
      <c r="X18" s="25"/>
      <c r="Y18" s="25"/>
      <c r="Z18" s="25"/>
      <c r="AA18" s="25"/>
      <c r="AB18" s="25"/>
      <c r="AC18" s="25"/>
      <c r="AD18" s="25"/>
      <c r="AE18" s="25"/>
      <c r="AF18" s="25">
        <f>' KF Africa'!I5*' KF Africa'!I8*-1*((' KF Africa'!G24+' KF Africa'!G25+' KF Africa'!G26+' KF Africa'!G28)*' KF Africa'!G140+(' KF Africa'!G27+' KF Africa'!G30)*' KF Africa'!G142+' KF Africa'!G29*' KF Africa'!G141)</f>
        <v>1564.9680935999997</v>
      </c>
      <c r="AG18" s="25">
        <f>(S18+SUM(C18:M18))*-1</f>
        <v>3609.9712274273288</v>
      </c>
      <c r="AH18" s="29">
        <f>-(C18*Emissionsfaktorer!$B$2+D18*Emissionsfaktorer!$B$3+E18*Emissionsfaktorer!$B$4+F18*Emissionsfaktorer!$B$5+G18*Emissionsfaktorer!$B$6+H18*Emissionsfaktorer!$B$7+I18*Emissionsfaktorer!$B$8+J18*Emissionsfaktorer!$B$9+K18*Emissionsfaktorer!$B$10+L18*Emissionsfaktorer!$B$11+M18*Emissionsfaktorer!$B$12)</f>
        <v>390.72936746342907</v>
      </c>
    </row>
    <row r="19" spans="3:34" x14ac:dyDescent="0.35">
      <c r="C19" s="25">
        <f>SUM(C20:C24)</f>
        <v>-360.91099086859907</v>
      </c>
      <c r="D19" s="25">
        <f t="shared" ref="D19:M19" si="6">SUM(D20:D24)</f>
        <v>0</v>
      </c>
      <c r="E19" s="25">
        <f t="shared" si="6"/>
        <v>-979.59672496365442</v>
      </c>
      <c r="F19" s="25">
        <f t="shared" si="6"/>
        <v>-537.57338776883819</v>
      </c>
      <c r="G19" s="25">
        <f t="shared" si="6"/>
        <v>0</v>
      </c>
      <c r="H19" s="25">
        <f t="shared" si="6"/>
        <v>0</v>
      </c>
      <c r="I19" s="25">
        <f t="shared" si="6"/>
        <v>-7.8259714591028526</v>
      </c>
      <c r="J19" s="25">
        <f t="shared" si="6"/>
        <v>-12305.149386908201</v>
      </c>
      <c r="K19" s="25">
        <f t="shared" si="6"/>
        <v>-1481.0820072642475</v>
      </c>
      <c r="L19" s="25">
        <f t="shared" si="6"/>
        <v>0</v>
      </c>
      <c r="M19" s="25">
        <f t="shared" si="6"/>
        <v>0</v>
      </c>
      <c r="N19" s="23">
        <f>SUM(N20:N24)</f>
        <v>-15672.138469232643</v>
      </c>
      <c r="O19" s="6" t="s">
        <v>84</v>
      </c>
      <c r="P19" s="64" t="s">
        <v>85</v>
      </c>
      <c r="Q19" s="69" t="s">
        <v>79</v>
      </c>
      <c r="R19" s="69"/>
      <c r="S19" s="24">
        <f t="shared" si="1"/>
        <v>12583.614994681813</v>
      </c>
      <c r="T19" s="37">
        <v>0.8</v>
      </c>
      <c r="U19" s="61"/>
      <c r="V19" s="25">
        <f>SUM(V20:V24)</f>
        <v>0</v>
      </c>
      <c r="W19" s="25">
        <f t="shared" ref="W19:AH19" si="7">SUM(W20:W24)</f>
        <v>0</v>
      </c>
      <c r="X19" s="25">
        <f t="shared" si="7"/>
        <v>0</v>
      </c>
      <c r="Y19" s="25">
        <f t="shared" si="7"/>
        <v>0</v>
      </c>
      <c r="Z19" s="25">
        <f t="shared" si="7"/>
        <v>0</v>
      </c>
      <c r="AA19" s="25">
        <f t="shared" si="7"/>
        <v>0</v>
      </c>
      <c r="AB19" s="25">
        <f t="shared" si="7"/>
        <v>0</v>
      </c>
      <c r="AC19" s="25">
        <f t="shared" si="7"/>
        <v>0</v>
      </c>
      <c r="AD19" s="25">
        <f t="shared" si="7"/>
        <v>0</v>
      </c>
      <c r="AE19" s="25">
        <f t="shared" si="7"/>
        <v>0</v>
      </c>
      <c r="AF19" s="25">
        <f t="shared" si="7"/>
        <v>12583.614994681813</v>
      </c>
      <c r="AG19" s="25">
        <f t="shared" si="7"/>
        <v>3088.5234745508278</v>
      </c>
      <c r="AH19" s="25">
        <f t="shared" si="7"/>
        <v>139.37757833257842</v>
      </c>
    </row>
    <row r="20" spans="3:34" x14ac:dyDescent="0.35">
      <c r="C20" s="92">
        <f>AF20*' KF Africa'!I$32/T20*' KF Africa'!I$139/' KF Africa'!I$139*-1</f>
        <v>-223.05427748245211</v>
      </c>
      <c r="D20" s="92"/>
      <c r="E20" s="92">
        <f>AF20*' KF Africa'!I33/T20*' KF Africa'!I$140/' KF Africa'!I$140*-1</f>
        <v>-605.47491128144509</v>
      </c>
      <c r="F20" s="92">
        <f>AF20*' KF Africa'!I$34/T20*' KF Africa'!I$140/' KF Africa'!I$140*-1</f>
        <v>-483.79371541810622</v>
      </c>
      <c r="G20" s="92"/>
      <c r="H20" s="92"/>
      <c r="I20" s="92">
        <f>AF20*' KF Africa'!I$35/T20*' KF Africa'!I$142/' KF Africa'!I$142*-1</f>
        <v>-2.3448544281992341</v>
      </c>
      <c r="J20" s="92">
        <f>AF20*' KF Africa'!I$36/T20*' KF Africa'!I$140/' KF Africa'!I$140*-1</f>
        <v>-11707.523180794746</v>
      </c>
      <c r="K20" s="92">
        <f>AF20*' KF Africa'!I$37/T20*' KF Africa'!I$141/' KF Africa'!I$141*-1</f>
        <v>-871.11342007601593</v>
      </c>
      <c r="L20" s="92">
        <f>AF20*' KF Africa'!I$38/T20*' KF Africa'!I$142/' KF Africa'!I$142*-1</f>
        <v>0</v>
      </c>
      <c r="M20" s="92"/>
      <c r="N20" s="23">
        <f>SUM(C20:L20)</f>
        <v>-13893.304359480964</v>
      </c>
      <c r="O20" s="84" t="s">
        <v>86</v>
      </c>
      <c r="P20" s="85" t="s">
        <v>87</v>
      </c>
      <c r="Q20" s="86" t="s">
        <v>85</v>
      </c>
      <c r="R20" s="86"/>
      <c r="S20" s="24">
        <f t="shared" si="1"/>
        <v>11245.779471481814</v>
      </c>
      <c r="T20" s="37">
        <f>(' KF Africa'!I32+' KF Africa'!I33+' KF Africa'!I34+' KF Africa'!I36)*' KF Africa'!I139+(' KF Africa'!I35+' KF Africa'!I38)*' KF Africa'!I142+' KF Africa'!I37*' KF Africa'!I141</f>
        <v>0.80943879011817321</v>
      </c>
      <c r="U20" s="61"/>
      <c r="V20" s="92"/>
      <c r="W20" s="92"/>
      <c r="X20" s="92"/>
      <c r="Y20" s="92"/>
      <c r="Z20" s="92"/>
      <c r="AA20" s="92"/>
      <c r="AB20" s="92"/>
      <c r="AC20" s="92"/>
      <c r="AD20" s="92"/>
      <c r="AE20" s="92"/>
      <c r="AF20" s="92">
        <f>' KF Africa'!I5*' KF Africa'!I9*((' KF Africa'!G32+' KF Africa'!G33+' KF Africa'!G34+' KF Africa'!G36)*' KF Africa'!G139+(' KF Africa'!G35+' KF Africa'!G38)*' KF Africa'!G142+' KF Africa'!G37*' KF Africa'!G141)*-1</f>
        <v>11245.779471481814</v>
      </c>
      <c r="AG20" s="92">
        <f>(N20+AF20)*-1</f>
        <v>2647.5248879991505</v>
      </c>
      <c r="AH20" s="87">
        <f>-(C20*Emissionsfaktorer!$B$2+D20*Emissionsfaktorer!$B$3+E20*Emissionsfaktorer!$B$4+F20*Emissionsfaktorer!$B$5+G20*Emissionsfaktorer!$B$6+H20*Emissionsfaktorer!$B$7+I20*Emissionsfaktorer!$B$8+J20*Emissionsfaktorer!$B$9+K20*Emissionsfaktorer!$B$10+L20*Emissionsfaktorer!$B$11+M20*Emissionsfaktorer!$B$12)</f>
        <v>94.782491397054841</v>
      </c>
    </row>
    <row r="21" spans="3:34" x14ac:dyDescent="0.35">
      <c r="C21" s="92">
        <f>AF21*' KF Africa'!I$40/T21*' KF Africa'!I$139/' KF Africa'!I$139*-1</f>
        <v>-110.03030508185093</v>
      </c>
      <c r="D21" s="92"/>
      <c r="E21" s="92">
        <f>AF21*' KF Africa'!I41/T21*' KF Africa'!I$140/' KF Africa'!I$140*-1</f>
        <v>-64.184344631079696</v>
      </c>
      <c r="F21" s="92">
        <f>AF21*' KF Africa'!I$42/T21*' KF Africa'!I$140/' KF Africa'!I$140*-1</f>
        <v>-21.85533457105258</v>
      </c>
      <c r="G21" s="92"/>
      <c r="H21" s="92"/>
      <c r="I21" s="92">
        <f>AF21*' KF Africa'!I$43/T21*' KF Africa'!I$142/' KF Africa'!I$142*-1</f>
        <v>-8.3736914065335552E-2</v>
      </c>
      <c r="J21" s="92">
        <f>AF21*' KF Africa'!I$44/T21*' KF Africa'!I$140/' KF Africa'!I$140*-1</f>
        <v>-443.0938807767231</v>
      </c>
      <c r="K21" s="92">
        <f>AF21*' KF Africa'!I$45/T21*' KF Africa'!I$141/' KF Africa'!I$141*-1</f>
        <v>-451.30009835512595</v>
      </c>
      <c r="L21" s="92">
        <f>AF21*' KF Africa'!I$46/T21*' KF Africa'!I$142/' KF Africa'!I$142*-1</f>
        <v>0</v>
      </c>
      <c r="M21" s="92"/>
      <c r="N21" s="23">
        <f t="shared" ref="N21:N24" si="8">SUM(C21:L21)</f>
        <v>-1090.5477003298977</v>
      </c>
      <c r="O21" s="84" t="s">
        <v>88</v>
      </c>
      <c r="P21" s="85" t="s">
        <v>89</v>
      </c>
      <c r="Q21" s="86" t="s">
        <v>85</v>
      </c>
      <c r="R21" s="86"/>
      <c r="S21" s="24">
        <f t="shared" si="1"/>
        <v>940.14992240000004</v>
      </c>
      <c r="T21" s="37">
        <f>(' KF Africa'!I40+' KF Africa'!I41+' KF Africa'!I42+' KF Africa'!I44)*' KF Africa'!I139+(' KF Africa'!I43+' KF Africa'!I46)*' KF Africa'!I142+' KF Africa'!I45*' KF Africa'!I141</f>
        <v>0.86208968403271014</v>
      </c>
      <c r="U21" s="61"/>
      <c r="V21" s="92"/>
      <c r="W21" s="92"/>
      <c r="X21" s="92"/>
      <c r="Y21" s="92"/>
      <c r="Z21" s="92"/>
      <c r="AA21" s="92"/>
      <c r="AB21" s="92"/>
      <c r="AC21" s="92"/>
      <c r="AD21" s="92"/>
      <c r="AE21" s="92"/>
      <c r="AF21" s="92">
        <f>' KF Africa'!I5*' KF Africa'!I10*((' KF Africa'!G40+' KF Africa'!G41+' KF Africa'!G42+' KF Africa'!G44)*' KF Africa'!G139+(' KF Africa'!G43+' KF Africa'!G46)*' KF Africa'!G142+' KF Africa'!G45*' KF Africa'!G141)*-1</f>
        <v>940.14992240000004</v>
      </c>
      <c r="AG21" s="92">
        <f t="shared" ref="AG21:AG24" si="9">(N21+AF21)*-1</f>
        <v>150.39777792989764</v>
      </c>
      <c r="AH21" s="87">
        <f>-(C21*Emissionsfaktorer!$B$2+D21*Emissionsfaktorer!$B$3+E21*Emissionsfaktorer!$B$4+F21*Emissionsfaktorer!$B$5+G21*Emissionsfaktorer!$B$6+H21*Emissionsfaktorer!$B$7+I21*Emissionsfaktorer!$B$8+J21*Emissionsfaktorer!$B$9+K21*Emissionsfaktorer!$B$10+L21*Emissionsfaktorer!$B$11+M21*Emissionsfaktorer!$B$12)</f>
        <v>16.57664324528789</v>
      </c>
    </row>
    <row r="22" spans="3:34" x14ac:dyDescent="0.35">
      <c r="C22" s="92">
        <f>AF22*' KF Africa'!I$48/T22*' KF Africa'!I$139/' KF Africa'!I$139*-1</f>
        <v>-21.968786472068437</v>
      </c>
      <c r="D22" s="92"/>
      <c r="E22" s="92">
        <f>AF22*' KF Africa'!I49/T22*' KF Africa'!I$140/' KF Africa'!I$140*-1</f>
        <v>-191.02382903808083</v>
      </c>
      <c r="F22" s="92">
        <f>AF22*' KF Africa'!I$50/T22*' KF Africa'!I$140/' KF Africa'!I$140*-1</f>
        <v>-2.4270278388189892</v>
      </c>
      <c r="G22" s="92"/>
      <c r="H22" s="92"/>
      <c r="I22" s="92">
        <f>AF22*' KF Africa'!I$51/T22*' KF Africa'!I$142/' KF Africa'!I$142*-1</f>
        <v>0</v>
      </c>
      <c r="J22" s="92">
        <f>AF22*' KF Africa'!I$52/T22*' KF Africa'!I$140/' KF Africa'!I$140*-1</f>
        <v>-135.07665282254655</v>
      </c>
      <c r="K22" s="92">
        <f>AF22*' KF Africa'!I$53/T22*' KF Africa'!I$141/' KF Africa'!I$141*-1</f>
        <v>-86.243178893205823</v>
      </c>
      <c r="L22" s="92">
        <f>AF22*' KF Africa'!I$54/T22*' KF Africa'!I$142/' KF Africa'!I$142*-1</f>
        <v>0</v>
      </c>
      <c r="M22" s="92"/>
      <c r="N22" s="23">
        <f t="shared" si="8"/>
        <v>-436.73947506472064</v>
      </c>
      <c r="O22" s="84" t="s">
        <v>90</v>
      </c>
      <c r="P22" s="85" t="s">
        <v>91</v>
      </c>
      <c r="Q22" s="86" t="s">
        <v>85</v>
      </c>
      <c r="R22" s="86"/>
      <c r="S22" s="24">
        <f t="shared" si="1"/>
        <v>187.07990879999997</v>
      </c>
      <c r="T22" s="37">
        <f>(' KF Africa'!I48+' KF Africa'!I49+' KF Africa'!I50+' KF Africa'!I52)*' KF Africa'!I140+(' KF Africa'!I51+' KF Africa'!I54)*' KF Africa'!I142+' KF Africa'!I53*' KF Africa'!I141</f>
        <v>0.42835584938200633</v>
      </c>
      <c r="U22" s="61"/>
      <c r="V22" s="92"/>
      <c r="W22" s="92"/>
      <c r="X22" s="92"/>
      <c r="Y22" s="92"/>
      <c r="Z22" s="92"/>
      <c r="AA22" s="92"/>
      <c r="AB22" s="92"/>
      <c r="AC22" s="92"/>
      <c r="AD22" s="92"/>
      <c r="AE22" s="92"/>
      <c r="AF22" s="92">
        <f>((' KF Africa'!G48+' KF Africa'!G49+' KF Africa'!G50+' KF Africa'!G52)*' KF Africa'!G140+(' KF Africa'!G51+' KF Africa'!G54)*' KF Africa'!G142+' KF Africa'!G53*' KF Africa'!G141)*' KF Africa'!I11*' KF Africa'!I5*-1</f>
        <v>187.07990879999997</v>
      </c>
      <c r="AG22" s="92">
        <f t="shared" si="9"/>
        <v>249.65956626472067</v>
      </c>
      <c r="AH22" s="87">
        <f>-(C22*Emissionsfaktorer!$B$2+D22*Emissionsfaktorer!$B$3+E22*Emissionsfaktorer!$B$4+F22*Emissionsfaktorer!$B$5+G22*Emissionsfaktorer!$B$6+H22*Emissionsfaktorer!$B$7+I22*Emissionsfaktorer!$B$8+J22*Emissionsfaktorer!$B$9+K22*Emissionsfaktorer!$B$10+L22*Emissionsfaktorer!$B$11+M22*Emissionsfaktorer!$B$12)</f>
        <v>16.743186308553327</v>
      </c>
    </row>
    <row r="23" spans="3:34" x14ac:dyDescent="0.35">
      <c r="C23" s="92">
        <f>AF23*' KF Africa'!I$56/T23*' KF Africa'!I$139/' KF Africa'!I$139*-1</f>
        <v>0</v>
      </c>
      <c r="D23" s="92"/>
      <c r="E23" s="92">
        <f>AF23*' KF Africa'!I57/T23*' KF Africa'!I$140/' KF Africa'!I$140*-1</f>
        <v>-5.1502559999999997</v>
      </c>
      <c r="F23" s="92">
        <f>AF23*' KF Africa'!I$58/T23*' KF Africa'!I$140/' KF Africa'!I$140*-1</f>
        <v>0</v>
      </c>
      <c r="G23" s="92"/>
      <c r="H23" s="92"/>
      <c r="I23" s="92">
        <f>AF23*' KF Africa'!I$59/T23*' KF Africa'!I$142/' KF Africa'!I$142*-1</f>
        <v>0</v>
      </c>
      <c r="J23" s="92">
        <f>AF23*' KF Africa'!I$60/T23*' KF Africa'!I$140/' KF Africa'!I$140*-1</f>
        <v>0</v>
      </c>
      <c r="K23" s="92">
        <f>AF23*' KF Africa'!I$61/T23*' KF Africa'!I$141/' KF Africa'!I$141*-1</f>
        <v>0</v>
      </c>
      <c r="L23" s="92">
        <f>AF23*' KF Africa'!I$62/T23*' KF Africa'!I$142/' KF Africa'!I$142*-1</f>
        <v>0</v>
      </c>
      <c r="M23" s="92"/>
      <c r="N23" s="23">
        <f t="shared" si="8"/>
        <v>-5.1502559999999997</v>
      </c>
      <c r="O23" s="84" t="s">
        <v>92</v>
      </c>
      <c r="P23" s="85" t="s">
        <v>93</v>
      </c>
      <c r="Q23" s="86" t="s">
        <v>85</v>
      </c>
      <c r="R23" s="86"/>
      <c r="S23" s="24">
        <f t="shared" si="1"/>
        <v>1.5450767999999999</v>
      </c>
      <c r="T23" s="37">
        <f>(' KF Africa'!I56+' KF Africa'!I57+' KF Africa'!I58+' KF Africa'!I60)*' KF Africa'!I140+(' KF Africa'!I59+' KF Africa'!I62)*' KF Africa'!I142+' KF Africa'!I61*' KF Africa'!I141</f>
        <v>0.3</v>
      </c>
      <c r="U23" s="61"/>
      <c r="V23" s="92"/>
      <c r="W23" s="92"/>
      <c r="X23" s="92"/>
      <c r="Y23" s="92"/>
      <c r="Z23" s="92"/>
      <c r="AA23" s="92"/>
      <c r="AB23" s="92"/>
      <c r="AC23" s="92"/>
      <c r="AD23" s="92"/>
      <c r="AE23" s="92"/>
      <c r="AF23" s="92">
        <f>((' KF Africa'!G56+' KF Africa'!G57+' KF Africa'!G58+' KF Africa'!G60)*' KF Africa'!G140+(' KF Africa'!G59+' KF Africa'!G62)*' KF Africa'!G142+' KF Africa'!G61*' KF Africa'!G141)*' KF Africa'!I5*' KF Africa'!I12*-1</f>
        <v>1.5450767999999999</v>
      </c>
      <c r="AG23" s="92">
        <f t="shared" si="9"/>
        <v>3.6051791999999998</v>
      </c>
      <c r="AH23" s="87">
        <f>-(C23*Emissionsfaktorer!$B$2+D23*Emissionsfaktorer!$B$3+E23*Emissionsfaktorer!$B$4+F23*Emissionsfaktorer!$B$5+G23*Emissionsfaktorer!$B$6+H23*Emissionsfaktorer!$B$7+I23*Emissionsfaktorer!$B$8+J23*Emissionsfaktorer!$B$9+K23*Emissionsfaktorer!$B$10+L23*Emissionsfaktorer!$B$11+M23*Emissionsfaktorer!$B$12)</f>
        <v>0.39141945599999994</v>
      </c>
    </row>
    <row r="24" spans="3:34" x14ac:dyDescent="0.35">
      <c r="C24" s="92">
        <f>AF24*' KF Africa'!I$64/T24*' KF Africa'!I$139/' KF Africa'!I$139*-1</f>
        <v>-5.8576218322275935</v>
      </c>
      <c r="D24" s="92"/>
      <c r="E24" s="92">
        <f>AF24*' KF Africa'!I65/T24*' KF Africa'!I$140/' KF Africa'!I$140*-1</f>
        <v>-113.76338401304876</v>
      </c>
      <c r="F24" s="92">
        <f>AF24*' KF Africa'!I$66/T24*' KF Africa'!I$140/' KF Africa'!I$140*-1</f>
        <v>-29.497309940860379</v>
      </c>
      <c r="G24" s="92"/>
      <c r="H24" s="92"/>
      <c r="I24" s="92">
        <f>AF24*' KF Africa'!I$67/T24*' KF Africa'!I$142/' KF Africa'!I$142*-1</f>
        <v>-5.3973801168382831</v>
      </c>
      <c r="J24" s="92">
        <f>AF24*' KF Africa'!I$68/T24*' KF Africa'!I$140/' KF Africa'!I$140*-1</f>
        <v>-19.45567251418451</v>
      </c>
      <c r="K24" s="92">
        <f>AF24*' KF Africa'!I$69/T24*' KF Africa'!I$141/' KF Africa'!I$141*-1</f>
        <v>-72.425309939899734</v>
      </c>
      <c r="L24" s="92">
        <f>AF24*' KF Africa'!I$70/T24*' KF Africa'!I$142/' KF Africa'!I$142*-1</f>
        <v>0</v>
      </c>
      <c r="M24" s="92"/>
      <c r="N24" s="23">
        <f t="shared" si="8"/>
        <v>-246.39667835705927</v>
      </c>
      <c r="O24" s="84" t="s">
        <v>94</v>
      </c>
      <c r="P24" s="85" t="s">
        <v>95</v>
      </c>
      <c r="Q24" s="86" t="s">
        <v>85</v>
      </c>
      <c r="R24" s="86"/>
      <c r="S24" s="24">
        <f t="shared" si="1"/>
        <v>209.0606152</v>
      </c>
      <c r="T24" s="37">
        <f>(' KF Africa'!I64+' KF Africa'!I65+' KF Africa'!I66+' KF Africa'!I68)*' KF Africa'!I139+(' KF Africa'!I67+' KF Africa'!I70)*' KF Africa'!I142+' KF Africa'!I69*' KF Africa'!I141</f>
        <v>0.848471726948548</v>
      </c>
      <c r="U24" s="61"/>
      <c r="V24" s="92"/>
      <c r="W24" s="92"/>
      <c r="X24" s="92"/>
      <c r="Y24" s="92"/>
      <c r="Z24" s="92"/>
      <c r="AA24" s="92"/>
      <c r="AB24" s="92"/>
      <c r="AC24" s="92"/>
      <c r="AD24" s="92"/>
      <c r="AE24" s="92"/>
      <c r="AF24" s="92">
        <f>((' KF Africa'!G64+' KF Africa'!G65+' KF Africa'!G66+' KF Africa'!G68)*' KF Africa'!G139+(' KF Africa'!G67+' KF Africa'!G70)*' KF Africa'!G142+' KF Africa'!G69*' KF Africa'!G141)*' KF Africa'!I5*' KF Africa'!I13*-1</f>
        <v>209.0606152</v>
      </c>
      <c r="AG24" s="92">
        <f t="shared" si="9"/>
        <v>37.336063157059272</v>
      </c>
      <c r="AH24" s="87">
        <f>-(C24*Emissionsfaktorer!$B$2+D24*Emissionsfaktorer!$B$3+E24*Emissionsfaktorer!$B$4+F24*Emissionsfaktorer!$B$5+G24*Emissionsfaktorer!$B$6+H24*Emissionsfaktorer!$B$7+I24*Emissionsfaktorer!$B$8+J24*Emissionsfaktorer!$B$9+K24*Emissionsfaktorer!$B$10+L24*Emissionsfaktorer!$B$11+M24*Emissionsfaktorer!$B$12)</f>
        <v>10.88383792568237</v>
      </c>
    </row>
    <row r="25" spans="3:34" x14ac:dyDescent="0.35"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23">
        <f>N16</f>
        <v>-24654.736064000001</v>
      </c>
      <c r="O25" s="10" t="s">
        <v>11</v>
      </c>
      <c r="P25" s="71" t="s">
        <v>96</v>
      </c>
      <c r="Q25" s="71"/>
      <c r="R25" s="71"/>
      <c r="S25" s="24">
        <f t="shared" si="1"/>
        <v>17334.550292281812</v>
      </c>
      <c r="T25" s="37">
        <f>AF25/N25*-1</f>
        <v>0.70309210560128965</v>
      </c>
      <c r="U25" s="61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>
        <f>AF16</f>
        <v>17334.550292281812</v>
      </c>
      <c r="AG25" s="14">
        <f>-(S25+N25)</f>
        <v>7320.1857717181883</v>
      </c>
      <c r="AH25" s="14"/>
    </row>
    <row r="28" spans="3:34" x14ac:dyDescent="0.35">
      <c r="X28" s="95"/>
    </row>
    <row r="29" spans="3:34" x14ac:dyDescent="0.35">
      <c r="X29" s="95"/>
    </row>
    <row r="30" spans="3:34" x14ac:dyDescent="0.35">
      <c r="X30" s="95"/>
    </row>
  </sheetData>
  <pageMargins left="0.7" right="0.7" top="0.75" bottom="0.75" header="0.3" footer="0.3"/>
  <pageSetup paperSize="9" orientation="portrait" horizontalDpi="4294967293" verticalDpi="4294967293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Ark7"/>
  <dimension ref="A1:AH31"/>
  <sheetViews>
    <sheetView topLeftCell="Q4" zoomScale="130" zoomScaleNormal="130" workbookViewId="0">
      <selection sqref="A1:AH27"/>
    </sheetView>
  </sheetViews>
  <sheetFormatPr defaultRowHeight="14.5" x14ac:dyDescent="0.35"/>
  <cols>
    <col min="3" max="3" width="16.453125" customWidth="1"/>
    <col min="4" max="4" width="12.81640625" customWidth="1"/>
    <col min="5" max="5" width="12.54296875" customWidth="1"/>
    <col min="6" max="6" width="16.54296875" customWidth="1"/>
    <col min="10" max="10" width="12.54296875" customWidth="1"/>
    <col min="11" max="11" width="11.54296875" customWidth="1"/>
    <col min="14" max="14" width="10.81640625" customWidth="1"/>
    <col min="15" max="15" width="51.54296875" customWidth="1"/>
    <col min="16" max="18" width="15.81640625" customWidth="1"/>
    <col min="19" max="19" width="12.81640625" customWidth="1"/>
    <col min="24" max="24" width="14.1796875" bestFit="1" customWidth="1"/>
    <col min="33" max="34" width="11.26953125" customWidth="1"/>
  </cols>
  <sheetData>
    <row r="1" spans="1:34" ht="140" x14ac:dyDescent="0.35">
      <c r="B1" s="44" t="s">
        <v>0</v>
      </c>
      <c r="C1" s="3" t="s">
        <v>1</v>
      </c>
      <c r="D1" s="8" t="s">
        <v>2</v>
      </c>
      <c r="E1" s="2" t="s">
        <v>3</v>
      </c>
      <c r="F1" s="3" t="s">
        <v>4</v>
      </c>
      <c r="G1" s="1" t="s">
        <v>5</v>
      </c>
      <c r="H1" s="1" t="s">
        <v>6</v>
      </c>
      <c r="I1" s="1" t="s">
        <v>7</v>
      </c>
      <c r="J1" s="3" t="s">
        <v>8</v>
      </c>
      <c r="K1" s="2" t="s">
        <v>9</v>
      </c>
      <c r="L1" s="2" t="s">
        <v>10</v>
      </c>
      <c r="M1" s="17" t="s">
        <v>11</v>
      </c>
      <c r="N1" s="5" t="s">
        <v>12</v>
      </c>
      <c r="O1" s="4" t="s">
        <v>255</v>
      </c>
      <c r="P1" s="60"/>
      <c r="Q1" s="60"/>
      <c r="R1" s="12" t="s">
        <v>14</v>
      </c>
      <c r="S1" s="11" t="s">
        <v>15</v>
      </c>
      <c r="T1" s="12" t="s">
        <v>16</v>
      </c>
      <c r="U1" s="44" t="s">
        <v>17</v>
      </c>
      <c r="V1" s="3" t="s">
        <v>1</v>
      </c>
      <c r="W1" s="8" t="s">
        <v>2</v>
      </c>
      <c r="X1" s="9" t="s">
        <v>3</v>
      </c>
      <c r="Y1" s="3" t="s">
        <v>4</v>
      </c>
      <c r="Z1" s="1" t="s">
        <v>5</v>
      </c>
      <c r="AA1" s="1" t="s">
        <v>6</v>
      </c>
      <c r="AB1" s="1" t="s">
        <v>7</v>
      </c>
      <c r="AC1" s="3" t="s">
        <v>8</v>
      </c>
      <c r="AD1" s="2" t="s">
        <v>9</v>
      </c>
      <c r="AE1" s="2" t="s">
        <v>10</v>
      </c>
      <c r="AF1" s="17" t="s">
        <v>11</v>
      </c>
      <c r="AG1" s="13" t="s">
        <v>18</v>
      </c>
      <c r="AH1" s="13" t="s">
        <v>19</v>
      </c>
    </row>
    <row r="2" spans="1:34" ht="24.75" customHeight="1" x14ac:dyDescent="0.35">
      <c r="A2" s="45" t="s">
        <v>20</v>
      </c>
      <c r="B2" s="46" t="s">
        <v>21</v>
      </c>
      <c r="C2" s="46" t="s">
        <v>22</v>
      </c>
      <c r="D2" s="46" t="s">
        <v>23</v>
      </c>
      <c r="E2" s="47" t="s">
        <v>24</v>
      </c>
      <c r="F2" s="46" t="s">
        <v>25</v>
      </c>
      <c r="G2" s="46" t="s">
        <v>26</v>
      </c>
      <c r="H2" s="46" t="s">
        <v>27</v>
      </c>
      <c r="I2" s="46" t="s">
        <v>28</v>
      </c>
      <c r="J2" s="48" t="s">
        <v>29</v>
      </c>
      <c r="K2" s="47" t="s">
        <v>30</v>
      </c>
      <c r="L2" s="49" t="s">
        <v>31</v>
      </c>
      <c r="M2" s="49" t="s">
        <v>32</v>
      </c>
      <c r="N2" s="50" t="s">
        <v>33</v>
      </c>
      <c r="O2" s="51"/>
      <c r="P2" s="52" t="s">
        <v>20</v>
      </c>
      <c r="Q2" s="53" t="s">
        <v>34</v>
      </c>
      <c r="R2" s="50" t="s">
        <v>35</v>
      </c>
      <c r="S2" s="54" t="s">
        <v>36</v>
      </c>
      <c r="T2" s="50" t="s">
        <v>37</v>
      </c>
      <c r="U2" s="46" t="s">
        <v>38</v>
      </c>
      <c r="V2" s="46" t="s">
        <v>39</v>
      </c>
      <c r="W2" s="46" t="s">
        <v>40</v>
      </c>
      <c r="X2" s="47" t="s">
        <v>41</v>
      </c>
      <c r="Y2" s="46" t="s">
        <v>42</v>
      </c>
      <c r="Z2" s="46" t="s">
        <v>43</v>
      </c>
      <c r="AA2" s="46" t="s">
        <v>44</v>
      </c>
      <c r="AB2" s="46" t="s">
        <v>45</v>
      </c>
      <c r="AC2" s="46" t="s">
        <v>46</v>
      </c>
      <c r="AD2" s="47" t="s">
        <v>47</v>
      </c>
      <c r="AE2" s="47" t="s">
        <v>48</v>
      </c>
      <c r="AF2" s="49" t="s">
        <v>49</v>
      </c>
      <c r="AG2" s="46" t="s">
        <v>50</v>
      </c>
      <c r="AH2" s="46" t="s">
        <v>51</v>
      </c>
    </row>
    <row r="3" spans="1:34" ht="24.75" customHeight="1" x14ac:dyDescent="0.35">
      <c r="A3" s="45" t="s">
        <v>34</v>
      </c>
      <c r="B3" s="55"/>
      <c r="C3" s="56" t="s">
        <v>52</v>
      </c>
      <c r="D3" s="56" t="s">
        <v>52</v>
      </c>
      <c r="E3" s="56" t="s">
        <v>21</v>
      </c>
      <c r="F3" s="56" t="s">
        <v>21</v>
      </c>
      <c r="G3" s="56" t="s">
        <v>21</v>
      </c>
      <c r="H3" s="56" t="s">
        <v>52</v>
      </c>
      <c r="I3" s="56" t="s">
        <v>52</v>
      </c>
      <c r="J3" s="56" t="s">
        <v>21</v>
      </c>
      <c r="K3" s="56" t="s">
        <v>21</v>
      </c>
      <c r="L3" s="57" t="s">
        <v>21</v>
      </c>
      <c r="M3" s="57" t="s">
        <v>21</v>
      </c>
      <c r="N3" s="50"/>
      <c r="O3" s="51" t="s">
        <v>53</v>
      </c>
      <c r="P3" s="52"/>
      <c r="Q3" s="53"/>
      <c r="R3" s="74"/>
      <c r="S3" s="58"/>
      <c r="T3" s="59"/>
      <c r="U3" s="55"/>
      <c r="V3" s="56" t="s">
        <v>38</v>
      </c>
      <c r="W3" s="56" t="s">
        <v>38</v>
      </c>
      <c r="X3" s="56" t="s">
        <v>38</v>
      </c>
      <c r="Y3" s="56" t="s">
        <v>38</v>
      </c>
      <c r="Z3" s="56" t="s">
        <v>38</v>
      </c>
      <c r="AA3" s="56" t="s">
        <v>38</v>
      </c>
      <c r="AB3" s="56" t="s">
        <v>54</v>
      </c>
      <c r="AC3" s="56" t="s">
        <v>38</v>
      </c>
      <c r="AD3" s="56" t="s">
        <v>38</v>
      </c>
      <c r="AE3" s="56" t="s">
        <v>38</v>
      </c>
      <c r="AF3" s="57" t="s">
        <v>38</v>
      </c>
      <c r="AG3" s="56"/>
      <c r="AH3" s="56"/>
    </row>
    <row r="4" spans="1:34" ht="24.75" customHeight="1" x14ac:dyDescent="0.35">
      <c r="A4" s="72" t="s">
        <v>55</v>
      </c>
      <c r="B4" s="72"/>
      <c r="C4" s="56"/>
      <c r="D4" s="56"/>
      <c r="E4" s="56"/>
      <c r="F4" s="56"/>
      <c r="G4" s="56"/>
      <c r="H4" s="56"/>
      <c r="I4" s="56"/>
      <c r="J4" s="56"/>
      <c r="K4" s="56"/>
      <c r="L4" s="57"/>
      <c r="M4" s="57"/>
      <c r="N4" s="50"/>
      <c r="O4" s="51"/>
      <c r="P4" s="73"/>
      <c r="Q4" s="53"/>
      <c r="R4" s="74"/>
      <c r="S4" s="58"/>
      <c r="T4" s="59"/>
      <c r="U4" s="55">
        <f>B4</f>
        <v>0</v>
      </c>
      <c r="V4" s="56"/>
      <c r="W4" s="56"/>
      <c r="X4" s="56"/>
      <c r="Y4" s="56"/>
      <c r="Z4" s="56"/>
      <c r="AA4" s="56"/>
      <c r="AB4" s="56"/>
      <c r="AC4" s="56"/>
      <c r="AD4" s="56"/>
      <c r="AE4" s="56"/>
      <c r="AF4" s="57"/>
      <c r="AG4" s="56">
        <f>U4</f>
        <v>0</v>
      </c>
      <c r="AH4" s="56">
        <f>U4</f>
        <v>0</v>
      </c>
    </row>
    <row r="5" spans="1:34" x14ac:dyDescent="0.35">
      <c r="C5" s="14"/>
      <c r="D5" s="14"/>
      <c r="E5" s="14"/>
      <c r="F5" s="14"/>
      <c r="G5" s="14"/>
      <c r="H5" s="14"/>
      <c r="I5" s="14"/>
      <c r="J5" s="14"/>
      <c r="K5" s="14"/>
      <c r="L5" s="14"/>
      <c r="M5" s="14"/>
      <c r="N5" s="23">
        <f>SUM(C5:M5)</f>
        <v>0</v>
      </c>
      <c r="O5" s="10" t="s">
        <v>56</v>
      </c>
      <c r="P5" s="62" t="s">
        <v>57</v>
      </c>
      <c r="Q5" s="63"/>
      <c r="R5" s="63"/>
      <c r="S5" s="24">
        <f>SUM(V5:AF5)</f>
        <v>30558.399259079677</v>
      </c>
      <c r="T5" s="37"/>
      <c r="U5" s="61"/>
      <c r="V5" s="14">
        <f>-(C6+C5)</f>
        <v>4380.0938334801294</v>
      </c>
      <c r="W5" s="14">
        <f>-(D6+D5)</f>
        <v>8059.4014440889923</v>
      </c>
      <c r="X5" s="14"/>
      <c r="Y5" s="14">
        <f>-(F6+F5)</f>
        <v>4963.0094920231932</v>
      </c>
      <c r="Z5" s="14">
        <f>-(G6+G5)</f>
        <v>128.91884341136875</v>
      </c>
      <c r="AA5" s="14"/>
      <c r="AB5" s="14"/>
      <c r="AC5" s="14">
        <f>-(J6+J5)</f>
        <v>13026.975646075996</v>
      </c>
      <c r="AD5" s="14"/>
      <c r="AE5" s="14"/>
      <c r="AF5" s="14"/>
      <c r="AG5" s="14"/>
      <c r="AH5" s="14"/>
    </row>
    <row r="6" spans="1:34" x14ac:dyDescent="0.35">
      <c r="C6" s="14">
        <f>-V6</f>
        <v>-4380.0938334801294</v>
      </c>
      <c r="D6" s="14">
        <f>-W6</f>
        <v>-8059.4014440889923</v>
      </c>
      <c r="E6" s="14"/>
      <c r="F6" s="14">
        <f>-Y6</f>
        <v>-4963.0094920231932</v>
      </c>
      <c r="G6" s="14">
        <f>-Z6</f>
        <v>-128.91884341136875</v>
      </c>
      <c r="H6" s="14"/>
      <c r="I6" s="14"/>
      <c r="J6" s="14">
        <f>-AC6</f>
        <v>-13026.975646075996</v>
      </c>
      <c r="K6" s="14"/>
      <c r="L6" s="18"/>
      <c r="M6" s="18"/>
      <c r="N6" s="23">
        <f t="shared" ref="N6:N15" si="0">SUM(C6:M6)</f>
        <v>-30558.399259079677</v>
      </c>
      <c r="O6" s="22" t="s">
        <v>58</v>
      </c>
      <c r="P6" s="65" t="s">
        <v>59</v>
      </c>
      <c r="Q6" s="66"/>
      <c r="R6" s="66"/>
      <c r="S6" s="24">
        <f t="shared" ref="S6:S25" si="1">SUM(V6:AF6)</f>
        <v>30558.399259079677</v>
      </c>
      <c r="T6" s="37"/>
      <c r="U6" s="61"/>
      <c r="V6" s="14">
        <f>-(C16+C8)</f>
        <v>4380.0938334801294</v>
      </c>
      <c r="W6" s="14">
        <f>-(D16+D8)</f>
        <v>8059.4014440889923</v>
      </c>
      <c r="X6" s="14"/>
      <c r="Y6" s="14">
        <f>-(F16+F8)</f>
        <v>4963.0094920231932</v>
      </c>
      <c r="Z6" s="14">
        <f>-(G16+G8)</f>
        <v>128.91884341136875</v>
      </c>
      <c r="AA6" s="14"/>
      <c r="AB6" s="14"/>
      <c r="AC6" s="14">
        <f>-(J16+J8)</f>
        <v>13026.975646075996</v>
      </c>
      <c r="AD6" s="14"/>
      <c r="AE6" s="14"/>
      <c r="AF6" s="14"/>
      <c r="AG6" s="21">
        <f>-(N6+S6)</f>
        <v>0</v>
      </c>
      <c r="AH6" s="21"/>
    </row>
    <row r="7" spans="1:34" x14ac:dyDescent="0.35"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23">
        <f t="shared" si="0"/>
        <v>0</v>
      </c>
      <c r="O7" s="22" t="s">
        <v>60</v>
      </c>
      <c r="P7" s="67" t="s">
        <v>61</v>
      </c>
      <c r="Q7" s="66"/>
      <c r="R7" s="66"/>
      <c r="S7" s="24">
        <f t="shared" si="1"/>
        <v>770.49146163612818</v>
      </c>
      <c r="T7" s="37"/>
      <c r="U7" s="61"/>
      <c r="V7" s="14"/>
      <c r="W7" s="14"/>
      <c r="X7" s="14"/>
      <c r="Y7" s="14"/>
      <c r="Z7" s="16"/>
      <c r="AA7" s="19">
        <f>-H8</f>
        <v>484.77560414684814</v>
      </c>
      <c r="AB7" s="19">
        <f>-I8</f>
        <v>285.71585748927998</v>
      </c>
      <c r="AC7" s="14"/>
      <c r="AD7" s="14"/>
      <c r="AE7" s="14"/>
      <c r="AF7" s="14"/>
      <c r="AG7" s="14"/>
      <c r="AH7" s="14"/>
    </row>
    <row r="8" spans="1:34" x14ac:dyDescent="0.35">
      <c r="C8" s="14">
        <f>SUM(C9:C13)</f>
        <v>-3395.1538697711439</v>
      </c>
      <c r="D8" s="14">
        <f t="shared" ref="D8:M8" si="2">SUM(D9:D13)</f>
        <v>-8059.4014440889923</v>
      </c>
      <c r="E8" s="14">
        <f t="shared" si="2"/>
        <v>-891.26169018135897</v>
      </c>
      <c r="F8" s="14">
        <f t="shared" si="2"/>
        <v>-3547.4051587811668</v>
      </c>
      <c r="G8" s="14">
        <f t="shared" si="2"/>
        <v>-128.91884341136875</v>
      </c>
      <c r="H8" s="14">
        <f t="shared" si="2"/>
        <v>-484.77560414684814</v>
      </c>
      <c r="I8" s="14">
        <f t="shared" si="2"/>
        <v>-285.71585748927998</v>
      </c>
      <c r="J8" s="14">
        <f t="shared" si="2"/>
        <v>-35.034967351761857</v>
      </c>
      <c r="K8" s="14">
        <f t="shared" si="2"/>
        <v>-191.06193600000003</v>
      </c>
      <c r="L8" s="14">
        <f t="shared" si="2"/>
        <v>0</v>
      </c>
      <c r="M8" s="14">
        <f t="shared" si="2"/>
        <v>0</v>
      </c>
      <c r="N8" s="23">
        <f t="shared" si="0"/>
        <v>-17018.729371221918</v>
      </c>
      <c r="O8" s="22" t="s">
        <v>62</v>
      </c>
      <c r="P8" s="67" t="s">
        <v>63</v>
      </c>
      <c r="Q8" s="66"/>
      <c r="R8" s="66"/>
      <c r="S8" s="24">
        <f t="shared" si="1"/>
        <v>10772.846759197761</v>
      </c>
      <c r="T8" s="37"/>
      <c r="U8" s="61"/>
      <c r="V8" s="14">
        <f>SUM(V9:V13)</f>
        <v>0</v>
      </c>
      <c r="W8" s="14"/>
      <c r="X8" s="14">
        <f>(E14+E8)*-1</f>
        <v>7692.3853590218532</v>
      </c>
      <c r="Y8" s="14"/>
      <c r="Z8" s="14"/>
      <c r="AA8" s="14"/>
      <c r="AB8" s="14"/>
      <c r="AC8" s="14"/>
      <c r="AD8" s="14">
        <f>(K14+K8)*-1</f>
        <v>3080.4614001759064</v>
      </c>
      <c r="AE8" s="14">
        <f>(L14+L8)*-1</f>
        <v>0</v>
      </c>
      <c r="AF8" s="14"/>
      <c r="AG8" s="21">
        <f>-(N8+S8)</f>
        <v>6245.8826120241574</v>
      </c>
      <c r="AH8" s="21">
        <f>SUM(AH9:AH13)</f>
        <v>592.47760013256857</v>
      </c>
    </row>
    <row r="9" spans="1:34" x14ac:dyDescent="0.35">
      <c r="C9" s="26">
        <f>-($AD$9+$H$9+$I$9)/$T$9*' KF Africa'!$H109</f>
        <v>-2804.4655657711442</v>
      </c>
      <c r="D9" s="26">
        <f>-($AD$9+$H$9+$I$9)/$T$9*' KF Africa'!$H110</f>
        <v>-34.611953318928961</v>
      </c>
      <c r="E9" s="26">
        <f>-($AD$9+$H$9+$I$9)/$T$9*' KF Africa'!$H111</f>
        <v>-750.82300218135902</v>
      </c>
      <c r="F9" s="26">
        <f>-($AD$9+$H$9+$I$9)/$T$9*' KF Africa'!$H112</f>
        <v>-2988.037110781167</v>
      </c>
      <c r="G9" s="26">
        <f>-($AD$9+$H$9+$I$9)/$T$9*' KF Africa'!$H113</f>
        <v>-128.91884341136875</v>
      </c>
      <c r="H9" s="26">
        <f>AD9*' KF Africa'!H94*-1</f>
        <v>-484.77560414684814</v>
      </c>
      <c r="I9" s="26">
        <f>AD9*' KF Africa'!H95*-1</f>
        <v>-285.71585748927998</v>
      </c>
      <c r="J9" s="26">
        <f>-($AD$9+$H$9+$I$9)/$T$9*' KF Africa'!$H114</f>
        <v>-34.82560735176186</v>
      </c>
      <c r="K9" s="25"/>
      <c r="L9" s="25"/>
      <c r="M9" s="25"/>
      <c r="N9" s="23">
        <f t="shared" si="0"/>
        <v>-7512.1735444518581</v>
      </c>
      <c r="O9" s="6" t="s">
        <v>64</v>
      </c>
      <c r="P9" s="68" t="s">
        <v>65</v>
      </c>
      <c r="Q9" s="69" t="s">
        <v>63</v>
      </c>
      <c r="R9" s="69"/>
      <c r="S9" s="24">
        <f t="shared" si="1"/>
        <v>3080.4614001759064</v>
      </c>
      <c r="T9" s="37">
        <f>' KF Africa'!H104</f>
        <v>0.34263999846978788</v>
      </c>
      <c r="U9" s="61"/>
      <c r="V9" s="28"/>
      <c r="W9" s="28"/>
      <c r="X9" s="28"/>
      <c r="Y9" s="28"/>
      <c r="Z9" s="28"/>
      <c r="AA9" s="28"/>
      <c r="AB9" s="28"/>
      <c r="AC9" s="28"/>
      <c r="AD9" s="28">
        <f>AD8-AD10</f>
        <v>3080.4614001759064</v>
      </c>
      <c r="AE9" s="28"/>
      <c r="AF9" s="28"/>
      <c r="AG9" s="29">
        <f>-(S9+N9)</f>
        <v>4431.7121442759517</v>
      </c>
      <c r="AH9" s="29">
        <f>-(C9*Emissionsfaktorer!$B$2*(1-' KF Africa'!H134)+D9*Emissionsfaktorer!$B$3+E9*Emissionsfaktorer!$B$4*(1-' KF Africa'!H135)+F9*Emissionsfaktorer!$B$5*(1-' KF Africa'!H136)+G9*Emissionsfaktorer!$B$6+H9*Emissionsfaktorer!$B$7+I9*Emissionsfaktorer!$B$8-J9*Emissionsfaktorer!B13*' KF Africa'!H137+K9*Emissionsfaktorer!$B$10+L9*Emissionsfaktorer!$B$11+M9*Emissionsfaktorer!$B$12)</f>
        <v>493.80489222856852</v>
      </c>
    </row>
    <row r="10" spans="1:34" x14ac:dyDescent="0.35">
      <c r="C10" s="26">
        <f>-($AD$10+$AE$10+$H$10+$I$10)/$T$10*' KF Africa'!$H116</f>
        <v>0</v>
      </c>
      <c r="D10" s="26">
        <f>-($AD$10+$AE$10+$H$10+$I$10)/$T$10*' KF Africa'!$H117</f>
        <v>0</v>
      </c>
      <c r="E10" s="26">
        <f>-($AD$10+$AE$10+$H$10+$I$10)/$T$10*' KF Africa'!$H118</f>
        <v>0</v>
      </c>
      <c r="F10" s="26">
        <f>-($AD$10+$AE$10+$H$10+$I$10)/$T$10*' KF Africa'!$H119</f>
        <v>0</v>
      </c>
      <c r="G10" s="26">
        <f>-($AD$10+$AE$10+$H$10+$I$10)/$T$10*' KF Africa'!$H120</f>
        <v>0</v>
      </c>
      <c r="H10" s="26"/>
      <c r="I10" s="26">
        <f>(AD10+AE10)*' KF Africa'!H98*-1</f>
        <v>0</v>
      </c>
      <c r="J10" s="26">
        <f>-($AD$10+$AE$10+$H$10+$I$10)/$T$10*' KF Africa'!$H121</f>
        <v>0</v>
      </c>
      <c r="K10" s="25"/>
      <c r="L10" s="25"/>
      <c r="M10" s="25"/>
      <c r="N10" s="23">
        <f t="shared" si="0"/>
        <v>0</v>
      </c>
      <c r="O10" s="6" t="s">
        <v>66</v>
      </c>
      <c r="P10" s="68" t="s">
        <v>67</v>
      </c>
      <c r="Q10" s="69" t="s">
        <v>63</v>
      </c>
      <c r="R10" s="69"/>
      <c r="S10" s="24">
        <f t="shared" si="1"/>
        <v>0</v>
      </c>
      <c r="T10" s="37">
        <f>' KF Africa'!H105</f>
        <v>0.22613065326633167</v>
      </c>
      <c r="U10" s="61"/>
      <c r="V10" s="28"/>
      <c r="W10" s="28"/>
      <c r="X10" s="28"/>
      <c r="Y10" s="28"/>
      <c r="Z10" s="28"/>
      <c r="AA10" s="28"/>
      <c r="AB10" s="28"/>
      <c r="AC10" s="28"/>
      <c r="AD10" s="28">
        <f>AE10*' KF Africa'!H90</f>
        <v>0</v>
      </c>
      <c r="AE10" s="28">
        <f>AE8*' KF Africa'!H85</f>
        <v>0</v>
      </c>
      <c r="AF10" s="28"/>
      <c r="AG10" s="29">
        <f t="shared" ref="AG10:AG11" si="3">-(S10+N10)</f>
        <v>0</v>
      </c>
      <c r="AH10" s="29">
        <f>-(C10*Emissionsfaktorer!$B$2*(1-' KF Africa'!H135)+D10*Emissionsfaktorer!$B$3+E10*Emissionsfaktorer!$B$4*(1-' KF Africa'!H136)+F10*Emissionsfaktorer!$B$5*(1-' KF Africa'!H137)+G10*Emissionsfaktorer!$B$6+H10*Emissionsfaktorer!$B$7+I10*Emissionsfaktorer!$B$8-J10*Emissionsfaktorer!B14*' KF Africa'!H142+K10*Emissionsfaktorer!$B$10+L10*Emissionsfaktorer!$B$11+M10*Emissionsfaktorer!$B$12)</f>
        <v>0</v>
      </c>
    </row>
    <row r="11" spans="1:34" x14ac:dyDescent="0.35">
      <c r="C11" s="26">
        <f>-($AE$11+$H$11+$I$11)/IF($T$11=0,1,$T$11)*' KF Africa'!$H123</f>
        <v>0</v>
      </c>
      <c r="D11" s="26">
        <f>-($AE$11+$H$11+$I$11)/IF($T$11=0,1,$T$11)*' KF Africa'!$H123</f>
        <v>0</v>
      </c>
      <c r="E11" s="26">
        <f>-($AE$11+$H$11+$I$11)/IF($T$11=0,1,$T$11)*' KF Africa'!$H123</f>
        <v>0</v>
      </c>
      <c r="F11" s="26">
        <f>-($AE$11+$H$11+$I$11)/IF($T$11=0,1,$T$11)*' KF Africa'!$H123</f>
        <v>0</v>
      </c>
      <c r="G11" s="26">
        <f>-($AE$11+$H$11+$I$11)/IF($T$11=0,1,T11)*' KF Africa'!$H127</f>
        <v>0</v>
      </c>
      <c r="H11" s="26"/>
      <c r="I11" s="26">
        <f>AE11*' KF Africa'!H101*-1</f>
        <v>0</v>
      </c>
      <c r="J11" s="26">
        <f>-($AE$11+$H$11+$I$11)/IF($T$11=0,1,T11)*' KF Africa'!$H128</f>
        <v>0</v>
      </c>
      <c r="K11" s="28">
        <f>AE11*' KF Africa'!H88*-1</f>
        <v>0</v>
      </c>
      <c r="L11" s="25"/>
      <c r="M11" s="25"/>
      <c r="N11" s="23">
        <f t="shared" si="0"/>
        <v>0</v>
      </c>
      <c r="O11" s="6" t="s">
        <v>68</v>
      </c>
      <c r="P11" s="64" t="s">
        <v>69</v>
      </c>
      <c r="Q11" s="69" t="s">
        <v>63</v>
      </c>
      <c r="R11" s="69"/>
      <c r="S11" s="24">
        <f t="shared" si="1"/>
        <v>0</v>
      </c>
      <c r="T11" s="37">
        <f>' KF Africa'!H106</f>
        <v>0</v>
      </c>
      <c r="U11" s="61"/>
      <c r="V11" s="28"/>
      <c r="W11" s="28"/>
      <c r="X11" s="28"/>
      <c r="Y11" s="28"/>
      <c r="Z11" s="28"/>
      <c r="AA11" s="28"/>
      <c r="AB11" s="28"/>
      <c r="AC11" s="28"/>
      <c r="AD11" s="28"/>
      <c r="AE11" s="28">
        <f>AE8*' KF Africa'!H86</f>
        <v>0</v>
      </c>
      <c r="AF11" s="28"/>
      <c r="AG11" s="29">
        <f t="shared" si="3"/>
        <v>0</v>
      </c>
      <c r="AH11" s="29">
        <f>-(C11*Emissionsfaktorer!$B$2+D11*Emissionsfaktorer!$B$3+E11*Emissionsfaktorer!$B$4+F11*Emissionsfaktorer!$B$5+G11*Emissionsfaktorer!$B$6+H11*Emissionsfaktorer!$B$7+I11*Emissionsfaktorer!$B$8+J11*Emissionsfaktorer!$B$9+K11*Emissionsfaktorer!$B$10+L11*Emissionsfaktorer!$B$11+M11*Emissionsfaktorer!$B$12)</f>
        <v>0</v>
      </c>
    </row>
    <row r="12" spans="1:34" x14ac:dyDescent="0.35">
      <c r="C12" s="26"/>
      <c r="D12" s="26">
        <f>-X12/T12*' KF Africa'!H130</f>
        <v>-7996.2327867700633</v>
      </c>
      <c r="E12" s="25"/>
      <c r="F12" s="26"/>
      <c r="G12" s="26"/>
      <c r="H12" s="26"/>
      <c r="I12" s="26"/>
      <c r="J12" s="27">
        <f>-X12/T12*' KF Africa'!H131</f>
        <v>0</v>
      </c>
      <c r="K12" s="25"/>
      <c r="L12" s="25"/>
      <c r="M12" s="25"/>
      <c r="N12" s="23">
        <f t="shared" si="0"/>
        <v>-7996.2327867700633</v>
      </c>
      <c r="O12" s="6" t="s">
        <v>70</v>
      </c>
      <c r="P12" s="64" t="s">
        <v>71</v>
      </c>
      <c r="Q12" s="69" t="s">
        <v>63</v>
      </c>
      <c r="R12" s="69"/>
      <c r="S12" s="24">
        <f t="shared" si="1"/>
        <v>7692.3853590218532</v>
      </c>
      <c r="T12" s="37">
        <f>' KF Africa'!H107</f>
        <v>0.96200117782327044</v>
      </c>
      <c r="U12" s="61"/>
      <c r="V12" s="28"/>
      <c r="W12" s="28"/>
      <c r="X12" s="28">
        <f>-(E9+E10+E11+E13+E14)</f>
        <v>7692.3853590218532</v>
      </c>
      <c r="Y12" s="28"/>
      <c r="Z12" s="28"/>
      <c r="AA12" s="28"/>
      <c r="AB12" s="28"/>
      <c r="AC12" s="28"/>
      <c r="AD12" s="28"/>
      <c r="AE12" s="28"/>
      <c r="AF12" s="28"/>
      <c r="AG12" s="29">
        <f>-(S12+N12)</f>
        <v>303.84742774821007</v>
      </c>
      <c r="AH12" s="29">
        <f>J12*Emissionsfaktorer!B4</f>
        <v>0</v>
      </c>
    </row>
    <row r="13" spans="1:34" x14ac:dyDescent="0.35">
      <c r="C13" s="28">
        <f>N13*' KF Africa'!H79</f>
        <v>-590.68830400000002</v>
      </c>
      <c r="D13" s="28">
        <f>N13*' KF Africa'!H81</f>
        <v>-28.556704</v>
      </c>
      <c r="E13" s="28">
        <f>N13*' KF Africa'!H82</f>
        <v>-140.43868799999998</v>
      </c>
      <c r="F13" s="28">
        <f>N13*' KF Africa'!H80</f>
        <v>-559.36804799999993</v>
      </c>
      <c r="G13" s="28"/>
      <c r="H13" s="28"/>
      <c r="I13" s="28"/>
      <c r="J13" s="36">
        <f>N13*' KF Africa'!H83</f>
        <v>-0.20935999999999999</v>
      </c>
      <c r="K13" s="28">
        <f>N13*' KF Africa'!H77</f>
        <v>-191.06193600000003</v>
      </c>
      <c r="L13" s="28">
        <f>N13*' KF Africa'!H78</f>
        <v>0</v>
      </c>
      <c r="M13" s="25"/>
      <c r="N13" s="23">
        <f>N16*' KF Africa'!H75</f>
        <v>-1510.32304</v>
      </c>
      <c r="O13" s="6" t="s">
        <v>72</v>
      </c>
      <c r="P13" s="64" t="s">
        <v>73</v>
      </c>
      <c r="Q13" s="69" t="s">
        <v>63</v>
      </c>
      <c r="R13" s="69"/>
      <c r="S13" s="24">
        <f t="shared" si="1"/>
        <v>0</v>
      </c>
      <c r="T13" s="37">
        <v>0</v>
      </c>
      <c r="U13" s="61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9">
        <f>-(S13+N13)</f>
        <v>1510.32304</v>
      </c>
      <c r="AH13" s="29">
        <f>-(C13*Emissionsfaktorer!$B$2+D13*Emissionsfaktorer!$B$3+E13*Emissionsfaktorer!$B$4+F13*Emissionsfaktorer!$B$5+G13*Emissionsfaktorer!$B$6+H13*Emissionsfaktorer!$B$7+I13*Emissionsfaktorer!$B$8+J13*Emissionsfaktorer!$B$9+K13*Emissionsfaktorer!$B$10+L13*Emissionsfaktorer!$B$11+M13*Emissionsfaktorer!$B$12)</f>
        <v>98.672707903999992</v>
      </c>
    </row>
    <row r="14" spans="1:34" x14ac:dyDescent="0.35">
      <c r="C14" s="15"/>
      <c r="D14" s="15"/>
      <c r="E14" s="16">
        <f>-X14*1</f>
        <v>-6801.1236688404942</v>
      </c>
      <c r="F14" s="15"/>
      <c r="G14" s="15"/>
      <c r="H14" s="15"/>
      <c r="I14" s="15"/>
      <c r="J14" s="20"/>
      <c r="K14" s="16">
        <f>-AD14*(1+' KF Africa'!H72)</f>
        <v>-2889.3994641759064</v>
      </c>
      <c r="L14" s="16">
        <f>-AE14*(1+' KF Africa'!H73)</f>
        <v>0</v>
      </c>
      <c r="M14" s="16"/>
      <c r="N14" s="23">
        <f t="shared" si="0"/>
        <v>-9690.5231330164006</v>
      </c>
      <c r="O14" s="22" t="s">
        <v>74</v>
      </c>
      <c r="P14" s="66" t="s">
        <v>75</v>
      </c>
      <c r="Q14" s="70"/>
      <c r="R14" s="70"/>
      <c r="S14" s="24">
        <f t="shared" si="1"/>
        <v>9251.1505085656754</v>
      </c>
      <c r="T14" s="37"/>
      <c r="U14" s="61"/>
      <c r="V14" s="16"/>
      <c r="W14" s="16"/>
      <c r="X14" s="16">
        <f>-E16</f>
        <v>6801.1236688404942</v>
      </c>
      <c r="Y14" s="16"/>
      <c r="Z14" s="16"/>
      <c r="AA14" s="16"/>
      <c r="AB14" s="16"/>
      <c r="AC14" s="16"/>
      <c r="AD14" s="16">
        <f>-K16</f>
        <v>2450.0268397251821</v>
      </c>
      <c r="AE14" s="16">
        <f>-L16</f>
        <v>0</v>
      </c>
      <c r="AF14" s="16"/>
      <c r="AG14" s="21">
        <f>-(N14+S14)</f>
        <v>439.3726244507252</v>
      </c>
      <c r="AH14" s="21"/>
    </row>
    <row r="15" spans="1:34" x14ac:dyDescent="0.35"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23">
        <f t="shared" si="0"/>
        <v>0</v>
      </c>
      <c r="O15" s="22" t="s">
        <v>76</v>
      </c>
      <c r="P15" s="67" t="s">
        <v>77</v>
      </c>
      <c r="Q15" s="66"/>
      <c r="R15" s="66"/>
      <c r="S15" s="24">
        <f t="shared" si="1"/>
        <v>7.8259714591028526</v>
      </c>
      <c r="T15" s="37"/>
      <c r="U15" s="61"/>
      <c r="V15" s="14"/>
      <c r="W15" s="14"/>
      <c r="X15" s="14"/>
      <c r="Y15" s="14"/>
      <c r="Z15" s="14"/>
      <c r="AA15" s="14"/>
      <c r="AB15" s="14">
        <f>I16*-1</f>
        <v>7.8259714591028526</v>
      </c>
      <c r="AC15" s="14"/>
      <c r="AD15" s="14"/>
      <c r="AE15" s="14"/>
      <c r="AF15" s="14"/>
      <c r="AG15" s="14"/>
      <c r="AH15" s="14"/>
    </row>
    <row r="16" spans="1:34" x14ac:dyDescent="0.35">
      <c r="C16" s="14">
        <f t="shared" ref="C16:M16" si="4">SUM(C17:C19)</f>
        <v>-984.93996370898572</v>
      </c>
      <c r="D16" s="14">
        <f t="shared" si="4"/>
        <v>0</v>
      </c>
      <c r="E16" s="14">
        <f t="shared" si="4"/>
        <v>-6801.1236688404942</v>
      </c>
      <c r="F16" s="14">
        <f t="shared" si="4"/>
        <v>-1415.6043332420263</v>
      </c>
      <c r="G16" s="14">
        <f t="shared" si="4"/>
        <v>0</v>
      </c>
      <c r="H16" s="14">
        <f t="shared" si="4"/>
        <v>0</v>
      </c>
      <c r="I16" s="14">
        <f t="shared" si="4"/>
        <v>-7.8259714591028526</v>
      </c>
      <c r="J16" s="14">
        <f t="shared" si="4"/>
        <v>-12991.940678724235</v>
      </c>
      <c r="K16" s="14">
        <f t="shared" si="4"/>
        <v>-2450.0268397251821</v>
      </c>
      <c r="L16" s="14">
        <f t="shared" si="4"/>
        <v>0</v>
      </c>
      <c r="M16" s="14">
        <f t="shared" si="4"/>
        <v>0</v>
      </c>
      <c r="N16" s="23">
        <f>' KF Africa'!H5</f>
        <v>-24654.736064000001</v>
      </c>
      <c r="O16" s="10" t="s">
        <v>78</v>
      </c>
      <c r="P16" s="71" t="s">
        <v>79</v>
      </c>
      <c r="Q16" s="71"/>
      <c r="R16" s="71"/>
      <c r="S16" s="24">
        <f t="shared" si="1"/>
        <v>17334.550292281812</v>
      </c>
      <c r="T16" s="37"/>
      <c r="U16" s="61"/>
      <c r="V16" s="14"/>
      <c r="W16" s="14"/>
      <c r="X16" s="14"/>
      <c r="Y16" s="14"/>
      <c r="Z16" s="14"/>
      <c r="AA16" s="14"/>
      <c r="AB16" s="14"/>
      <c r="AC16" s="14"/>
      <c r="AD16" s="14"/>
      <c r="AE16" s="14"/>
      <c r="AF16" s="14">
        <f>SUM(AF17:AF19)</f>
        <v>17334.550292281812</v>
      </c>
      <c r="AG16" s="14">
        <f t="shared" ref="AG16:AH16" si="5">SUM(AG17:AG19)</f>
        <v>7316.9111634182118</v>
      </c>
      <c r="AH16" s="14">
        <f t="shared" si="5"/>
        <v>691.14414237902679</v>
      </c>
    </row>
    <row r="17" spans="3:34" x14ac:dyDescent="0.35">
      <c r="C17" s="25">
        <f>AF17*' KF Africa'!H15/T17*' KF Africa'!H139/' KF Africa'!H$139*-1</f>
        <v>-623.69416346101866</v>
      </c>
      <c r="D17" s="25">
        <f>AF17*' KF Africa'!H16/T17*' KF Africa'!H139/' KF Africa'!H$139*-1</f>
        <v>0</v>
      </c>
      <c r="E17" s="25">
        <f>AF17*' KF Africa'!H17/T17*' KF Africa'!H139/' KF Africa'!H$139*-1</f>
        <v>-719.15755582750103</v>
      </c>
      <c r="F17" s="25">
        <f>AF17*' KF Africa'!H18/T17*' KF Africa'!H139/' KF Africa'!H$139*-1</f>
        <v>-826.84696160232249</v>
      </c>
      <c r="G17" s="25"/>
      <c r="H17" s="25"/>
      <c r="I17" s="25">
        <f>AF17*' KF Africa'!H19/T17*' KF Africa'!H142/' KF Africa'!H$142*-1</f>
        <v>0</v>
      </c>
      <c r="J17" s="25">
        <f>AF17*' KF Africa'!H20*' KF Africa'!H139/T17/' KF Africa'!H$139*-1</f>
        <v>-684.94984022951144</v>
      </c>
      <c r="K17" s="25">
        <f>AF17*' KF Africa'!H21*' KF Africa'!H141/T17/' KF Africa'!H$141*-1</f>
        <v>-949.73514431970227</v>
      </c>
      <c r="L17" s="25">
        <f>AF17*' KF Africa'!H22*' KF Africa'!H142/T17/' KF Africa'!H$142*-1</f>
        <v>0</v>
      </c>
      <c r="M17" s="25"/>
      <c r="N17" s="23">
        <f>SUM(C17:L17)</f>
        <v>-3804.3836654400557</v>
      </c>
      <c r="O17" s="6" t="s">
        <v>80</v>
      </c>
      <c r="P17" s="64" t="s">
        <v>81</v>
      </c>
      <c r="Q17" s="69" t="s">
        <v>79</v>
      </c>
      <c r="R17" s="69"/>
      <c r="S17" s="24">
        <f t="shared" si="1"/>
        <v>3185.967204</v>
      </c>
      <c r="T17" s="37">
        <f>(' KF Africa'!H15+' KF Africa'!H16+' KF Africa'!H17+' KF Africa'!H18+' KF Africa'!H20)*' KF Africa'!H139+(' KF Africa'!H19+' KF Africa'!H22)*' KF Africa'!H142+' KF Africa'!H21*' KF Africa'!H141</f>
        <v>0.83744634720785371</v>
      </c>
      <c r="U17" s="61"/>
      <c r="V17" s="25"/>
      <c r="W17" s="25"/>
      <c r="X17" s="25"/>
      <c r="Y17" s="25"/>
      <c r="Z17" s="25"/>
      <c r="AA17" s="25"/>
      <c r="AB17" s="25"/>
      <c r="AC17" s="25"/>
      <c r="AD17" s="25"/>
      <c r="AE17" s="25"/>
      <c r="AF17" s="25">
        <f>' KF Africa'!H5*' KF Africa'!H7*((' KF Africa'!G15+' KF Africa'!G16+' KF Africa'!G17+' KF Africa'!G18+' KF Africa'!G20)*' KF Africa'!G139+(' KF Africa'!G19+' KF Africa'!G22)*' KF Africa'!G142+' KF Africa'!G21*' KF Africa'!G141)*-1</f>
        <v>3185.967204</v>
      </c>
      <c r="AG17" s="25">
        <f>(S17+SUM(C17:M17))*-1</f>
        <v>618.41646144005563</v>
      </c>
      <c r="AH17" s="29">
        <f>-(C17*Emissionsfaktorer!$B$2+D17*Emissionsfaktorer!$B$3+E17*Emissionsfaktorer!$B$4+F17*Emissionsfaktorer!$B$5+G17*Emissionsfaktorer!$B$6+H17*Emissionsfaktorer!$B$7+I17*Emissionsfaktorer!$B$8+J17*Emissionsfaktorer!$B$9+K17*Emissionsfaktorer!$B$10+L17*Emissionsfaktorer!$B$11+M17*Emissionsfaktorer!$B$12)</f>
        <v>161.03719658301924</v>
      </c>
    </row>
    <row r="18" spans="3:34" x14ac:dyDescent="0.35">
      <c r="C18" s="25">
        <f>AF18*' KF Africa'!H24/T18*' KF Africa'!H140/' KF Africa'!H$140*-1</f>
        <v>-0.33480937936788729</v>
      </c>
      <c r="D18" s="25"/>
      <c r="E18" s="25">
        <f>AF18*' KF Africa'!H25/T18*' KF Africa'!H140/' KF Africa'!H$140*-1</f>
        <v>-5102.3693880493392</v>
      </c>
      <c r="F18" s="25">
        <f>AF18*' KF Africa'!H26/T18*' KF Africa'!H140/' KF Africa'!H$140*-1</f>
        <v>-51.183983870865774</v>
      </c>
      <c r="G18" s="25"/>
      <c r="H18" s="25"/>
      <c r="I18" s="25">
        <f>AF18*' KF Africa'!H27/T18*' KF Africa'!H142/' KF Africa'!H$142*-1</f>
        <v>0</v>
      </c>
      <c r="J18" s="25">
        <f>AF18*' KF Africa'!H28/T18*' KF Africa'!H140/' KF Africa'!H$140*-1</f>
        <v>-1.8414515865233803</v>
      </c>
      <c r="K18" s="25">
        <f>AF18*' KF Africa'!H29/T18*' KF Africa'!H141/' KF Africa'!H$141*-1</f>
        <v>-19.209688141232533</v>
      </c>
      <c r="L18" s="25">
        <f>AF18*' KF Africa'!H30/T18*' KF Africa'!H142/' KF Africa'!H$142*-1</f>
        <v>0</v>
      </c>
      <c r="M18" s="25"/>
      <c r="N18" s="23">
        <f>SUM(C18:L18)</f>
        <v>-5174.9393210273283</v>
      </c>
      <c r="O18" s="6" t="s">
        <v>82</v>
      </c>
      <c r="P18" s="64" t="s">
        <v>83</v>
      </c>
      <c r="Q18" s="69" t="s">
        <v>79</v>
      </c>
      <c r="R18" s="69"/>
      <c r="S18" s="24">
        <f t="shared" si="1"/>
        <v>1564.9680935999997</v>
      </c>
      <c r="T18" s="37">
        <f>(' KF Africa'!H24+' KF Africa'!H25+' KF Africa'!H26+' KF Africa'!H28)*' KF Africa'!H140+(' KF Africa'!H27+' KF Africa'!H30)*' KF Africa'!H142+' KF Africa'!H29*' KF Africa'!H141</f>
        <v>0.30241283936239899</v>
      </c>
      <c r="U18" s="61"/>
      <c r="V18" s="25"/>
      <c r="W18" s="25"/>
      <c r="X18" s="25"/>
      <c r="Y18" s="25"/>
      <c r="Z18" s="25"/>
      <c r="AA18" s="25"/>
      <c r="AB18" s="25"/>
      <c r="AC18" s="25"/>
      <c r="AD18" s="25"/>
      <c r="AE18" s="25"/>
      <c r="AF18" s="25">
        <f>' KF Africa'!H5*' KF Africa'!H8*-1*((' KF Africa'!G24+' KF Africa'!G25+' KF Africa'!G26+' KF Africa'!G28)*' KF Africa'!G140+(' KF Africa'!G27+' KF Africa'!G30)*' KF Africa'!G142+' KF Africa'!G29*' KF Africa'!G141)</f>
        <v>1564.9680935999997</v>
      </c>
      <c r="AG18" s="25">
        <f>(S18+SUM(C18:M18))*-1</f>
        <v>3609.9712274273288</v>
      </c>
      <c r="AH18" s="29">
        <f>-(C18*Emissionsfaktorer!$B$2+D18*Emissionsfaktorer!$B$3+E18*Emissionsfaktorer!$B$4+F18*Emissionsfaktorer!$B$5+G18*Emissionsfaktorer!$B$6+H18*Emissionsfaktorer!$B$7+I18*Emissionsfaktorer!$B$8+J18*Emissionsfaktorer!$B$9+K18*Emissionsfaktorer!$B$10+L18*Emissionsfaktorer!$B$11+M18*Emissionsfaktorer!$B$12)</f>
        <v>390.72936746342907</v>
      </c>
    </row>
    <row r="19" spans="3:34" x14ac:dyDescent="0.35">
      <c r="C19" s="25">
        <f>SUM(C20:C24)</f>
        <v>-360.91099086859907</v>
      </c>
      <c r="D19" s="25">
        <f t="shared" ref="D19:M19" si="6">SUM(D20:D24)</f>
        <v>0</v>
      </c>
      <c r="E19" s="25">
        <f t="shared" si="6"/>
        <v>-979.59672496365442</v>
      </c>
      <c r="F19" s="25">
        <f t="shared" si="6"/>
        <v>-537.57338776883819</v>
      </c>
      <c r="G19" s="25">
        <f t="shared" si="6"/>
        <v>0</v>
      </c>
      <c r="H19" s="25">
        <f t="shared" si="6"/>
        <v>0</v>
      </c>
      <c r="I19" s="25">
        <f t="shared" si="6"/>
        <v>-7.8259714591028526</v>
      </c>
      <c r="J19" s="25">
        <f t="shared" si="6"/>
        <v>-12305.149386908201</v>
      </c>
      <c r="K19" s="25">
        <f t="shared" si="6"/>
        <v>-1481.0820072642475</v>
      </c>
      <c r="L19" s="25">
        <f t="shared" si="6"/>
        <v>0</v>
      </c>
      <c r="M19" s="25">
        <f t="shared" si="6"/>
        <v>0</v>
      </c>
      <c r="N19" s="23">
        <f>SUM(N20:N24)</f>
        <v>-15672.138469232643</v>
      </c>
      <c r="O19" s="6" t="s">
        <v>84</v>
      </c>
      <c r="P19" s="64" t="s">
        <v>85</v>
      </c>
      <c r="Q19" s="69" t="s">
        <v>79</v>
      </c>
      <c r="R19" s="69"/>
      <c r="S19" s="24">
        <f t="shared" si="1"/>
        <v>12583.614994681813</v>
      </c>
      <c r="T19" s="37">
        <v>0.8</v>
      </c>
      <c r="U19" s="61"/>
      <c r="V19" s="25">
        <f>SUM(V20:V24)</f>
        <v>0</v>
      </c>
      <c r="W19" s="25">
        <f t="shared" ref="W19:AH19" si="7">SUM(W20:W24)</f>
        <v>0</v>
      </c>
      <c r="X19" s="25">
        <f t="shared" si="7"/>
        <v>0</v>
      </c>
      <c r="Y19" s="25">
        <f t="shared" si="7"/>
        <v>0</v>
      </c>
      <c r="Z19" s="25">
        <f t="shared" si="7"/>
        <v>0</v>
      </c>
      <c r="AA19" s="25">
        <f t="shared" si="7"/>
        <v>0</v>
      </c>
      <c r="AB19" s="25">
        <f t="shared" si="7"/>
        <v>0</v>
      </c>
      <c r="AC19" s="25">
        <f t="shared" si="7"/>
        <v>0</v>
      </c>
      <c r="AD19" s="25">
        <f t="shared" si="7"/>
        <v>0</v>
      </c>
      <c r="AE19" s="25">
        <f t="shared" si="7"/>
        <v>0</v>
      </c>
      <c r="AF19" s="25">
        <f t="shared" si="7"/>
        <v>12583.614994681813</v>
      </c>
      <c r="AG19" s="25">
        <f t="shared" si="7"/>
        <v>3088.5234745508278</v>
      </c>
      <c r="AH19" s="25">
        <f t="shared" si="7"/>
        <v>139.37757833257842</v>
      </c>
    </row>
    <row r="20" spans="3:34" x14ac:dyDescent="0.35">
      <c r="C20" s="92">
        <f>AF20*' KF Africa'!H$32/T20*' KF Africa'!H$139/' KF Africa'!H$139*-1</f>
        <v>-223.05427748245211</v>
      </c>
      <c r="D20" s="92"/>
      <c r="E20" s="92">
        <f>AF20*' KF Africa'!H33/T20*' KF Africa'!H$140/' KF Africa'!H$140*-1</f>
        <v>-605.47491128144509</v>
      </c>
      <c r="F20" s="92">
        <f>AF20*' KF Africa'!H$34/T20*' KF Africa'!H$140/' KF Africa'!H$140*-1</f>
        <v>-483.79371541810622</v>
      </c>
      <c r="G20" s="92"/>
      <c r="H20" s="92"/>
      <c r="I20" s="92">
        <f>AF20*' KF Africa'!H$35/T20*' KF Africa'!H$142/' KF Africa'!H$142*-1</f>
        <v>-2.3448544281992341</v>
      </c>
      <c r="J20" s="92">
        <f>AF20*' KF Africa'!H$36/T20*' KF Africa'!H$140/' KF Africa'!H$140*-1</f>
        <v>-11707.523180794746</v>
      </c>
      <c r="K20" s="92">
        <f>AF20*' KF Africa'!H$37/T20*' KF Africa'!H$141/' KF Africa'!H$141*-1</f>
        <v>-871.11342007601593</v>
      </c>
      <c r="L20" s="92">
        <f>AF20*' KF Africa'!H$38/T20*' KF Africa'!H$142/' KF Africa'!H$142*-1</f>
        <v>0</v>
      </c>
      <c r="M20" s="92"/>
      <c r="N20" s="23">
        <f>SUM(C20:L20)</f>
        <v>-13893.304359480964</v>
      </c>
      <c r="O20" s="84" t="s">
        <v>86</v>
      </c>
      <c r="P20" s="85" t="s">
        <v>87</v>
      </c>
      <c r="Q20" s="86" t="s">
        <v>85</v>
      </c>
      <c r="R20" s="86"/>
      <c r="S20" s="24">
        <f t="shared" si="1"/>
        <v>11245.779471481814</v>
      </c>
      <c r="T20" s="37">
        <f>(' KF Africa'!H32+' KF Africa'!H33+' KF Africa'!H34+' KF Africa'!H36)*' KF Africa'!H139+(' KF Africa'!H35+' KF Africa'!H38)*' KF Africa'!H142+' KF Africa'!H37*' KF Africa'!H141</f>
        <v>0.80943879011817321</v>
      </c>
      <c r="U20" s="61"/>
      <c r="V20" s="92"/>
      <c r="W20" s="92"/>
      <c r="X20" s="92"/>
      <c r="Y20" s="92"/>
      <c r="Z20" s="92"/>
      <c r="AA20" s="92"/>
      <c r="AB20" s="92"/>
      <c r="AC20" s="92"/>
      <c r="AD20" s="92"/>
      <c r="AE20" s="92"/>
      <c r="AF20" s="92">
        <f>' KF Africa'!H5*' KF Africa'!H9*((' KF Africa'!G32+' KF Africa'!G33+' KF Africa'!G34+' KF Africa'!G36)*' KF Africa'!G139+(' KF Africa'!G35+' KF Africa'!G38)*' KF Africa'!G142+' KF Africa'!G37*' KF Africa'!G141)*-1</f>
        <v>11245.779471481814</v>
      </c>
      <c r="AG20" s="92">
        <f>(N20+AF20)*-1</f>
        <v>2647.5248879991505</v>
      </c>
      <c r="AH20" s="87">
        <f>-(C20*Emissionsfaktorer!$B$2+D20*Emissionsfaktorer!$B$3+E20*Emissionsfaktorer!$B$4+F20*Emissionsfaktorer!$B$5+G20*Emissionsfaktorer!$B$6+H20*Emissionsfaktorer!$B$7+I20*Emissionsfaktorer!$B$8+J20*Emissionsfaktorer!$B$9+K20*Emissionsfaktorer!$B$10+L20*Emissionsfaktorer!$B$11+M20*Emissionsfaktorer!$B$12)</f>
        <v>94.782491397054841</v>
      </c>
    </row>
    <row r="21" spans="3:34" x14ac:dyDescent="0.35">
      <c r="C21" s="92">
        <f>AF21*' KF Africa'!H$40/T21*' KF Africa'!H$139/' KF Africa'!H$139*-1</f>
        <v>-110.03030508185093</v>
      </c>
      <c r="D21" s="92"/>
      <c r="E21" s="92">
        <f>AF21*' KF Africa'!H41/T21*' KF Africa'!H$140/' KF Africa'!H$140*-1</f>
        <v>-64.184344631079696</v>
      </c>
      <c r="F21" s="92">
        <f>AF21*' KF Africa'!H$42/T21*' KF Africa'!H$140/' KF Africa'!H$140*-1</f>
        <v>-21.85533457105258</v>
      </c>
      <c r="G21" s="92"/>
      <c r="H21" s="92"/>
      <c r="I21" s="92">
        <f>AF21*' KF Africa'!H$43/T21*' KF Africa'!H$142/' KF Africa'!H$142*-1</f>
        <v>-8.3736914065335552E-2</v>
      </c>
      <c r="J21" s="92">
        <f>AF21*' KF Africa'!H$44/T21*' KF Africa'!H$140/' KF Africa'!H$140*-1</f>
        <v>-443.0938807767231</v>
      </c>
      <c r="K21" s="92">
        <f>AF21*' KF Africa'!H$45/T21*' KF Africa'!H$141/' KF Africa'!H$141*-1</f>
        <v>-451.30009835512595</v>
      </c>
      <c r="L21" s="92">
        <f>AF21*' KF Africa'!H$46/T21*' KF Africa'!H$142/' KF Africa'!H$142*-1</f>
        <v>0</v>
      </c>
      <c r="M21" s="92"/>
      <c r="N21" s="23">
        <f t="shared" ref="N21:N24" si="8">SUM(C21:L21)</f>
        <v>-1090.5477003298977</v>
      </c>
      <c r="O21" s="84" t="s">
        <v>88</v>
      </c>
      <c r="P21" s="85" t="s">
        <v>89</v>
      </c>
      <c r="Q21" s="86" t="s">
        <v>85</v>
      </c>
      <c r="R21" s="86"/>
      <c r="S21" s="24">
        <f t="shared" si="1"/>
        <v>940.14992240000004</v>
      </c>
      <c r="T21" s="37">
        <f>(' KF Africa'!H40+' KF Africa'!H41+' KF Africa'!H42+' KF Africa'!H44)*' KF Africa'!H139+(' KF Africa'!H43+' KF Africa'!H46)*' KF Africa'!H142+' KF Africa'!H45*' KF Africa'!H141</f>
        <v>0.86208968403271014</v>
      </c>
      <c r="U21" s="61"/>
      <c r="V21" s="92"/>
      <c r="W21" s="92"/>
      <c r="X21" s="92"/>
      <c r="Y21" s="92"/>
      <c r="Z21" s="92"/>
      <c r="AA21" s="92"/>
      <c r="AB21" s="92"/>
      <c r="AC21" s="92"/>
      <c r="AD21" s="92"/>
      <c r="AE21" s="92"/>
      <c r="AF21" s="92">
        <f>' KF Africa'!H5*' KF Africa'!H10*((' KF Africa'!G40+' KF Africa'!G41+' KF Africa'!G42+' KF Africa'!G44)*' KF Africa'!G139+(' KF Africa'!G43+' KF Africa'!G46)*' KF Africa'!G142+' KF Africa'!G45*' KF Africa'!G141)*-1</f>
        <v>940.14992240000004</v>
      </c>
      <c r="AG21" s="92">
        <f t="shared" ref="AG21:AG24" si="9">(N21+AF21)*-1</f>
        <v>150.39777792989764</v>
      </c>
      <c r="AH21" s="87">
        <f>-(C21*Emissionsfaktorer!$B$2+D21*Emissionsfaktorer!$B$3+E21*Emissionsfaktorer!$B$4+F21*Emissionsfaktorer!$B$5+G21*Emissionsfaktorer!$B$6+H21*Emissionsfaktorer!$B$7+I21*Emissionsfaktorer!$B$8+J21*Emissionsfaktorer!$B$9+K21*Emissionsfaktorer!$B$10+L21*Emissionsfaktorer!$B$11+M21*Emissionsfaktorer!$B$12)</f>
        <v>16.57664324528789</v>
      </c>
    </row>
    <row r="22" spans="3:34" x14ac:dyDescent="0.35">
      <c r="C22" s="92">
        <f>AF22*' KF Africa'!H$48/T22*' KF Africa'!H$139/' KF Africa'!H$139*-1</f>
        <v>-21.968786472068437</v>
      </c>
      <c r="D22" s="92"/>
      <c r="E22" s="92">
        <f>AF22*' KF Africa'!H49/T22*' KF Africa'!H$140/' KF Africa'!H$140*-1</f>
        <v>-191.02382903808083</v>
      </c>
      <c r="F22" s="92">
        <f>AF22*' KF Africa'!H$50/T22*' KF Africa'!H$140/' KF Africa'!H$140*-1</f>
        <v>-2.4270278388189892</v>
      </c>
      <c r="G22" s="92"/>
      <c r="H22" s="92"/>
      <c r="I22" s="92">
        <f>AF22*' KF Africa'!H$51/T22*' KF Africa'!H$142/' KF Africa'!H$142*-1</f>
        <v>0</v>
      </c>
      <c r="J22" s="92">
        <f>AF22*' KF Africa'!H$52/T22*' KF Africa'!H$140/' KF Africa'!H$140*-1</f>
        <v>-135.07665282254655</v>
      </c>
      <c r="K22" s="92">
        <f>AF22*' KF Africa'!H$53/T22*' KF Africa'!H$141/' KF Africa'!H$141*-1</f>
        <v>-86.243178893205823</v>
      </c>
      <c r="L22" s="92">
        <f>AF22*' KF Africa'!H$54/T22*' KF Africa'!H$142/' KF Africa'!H$142*-1</f>
        <v>0</v>
      </c>
      <c r="M22" s="92"/>
      <c r="N22" s="23">
        <f t="shared" si="8"/>
        <v>-436.73947506472064</v>
      </c>
      <c r="O22" s="84" t="s">
        <v>90</v>
      </c>
      <c r="P22" s="85" t="s">
        <v>91</v>
      </c>
      <c r="Q22" s="86" t="s">
        <v>85</v>
      </c>
      <c r="R22" s="86"/>
      <c r="S22" s="24">
        <f t="shared" si="1"/>
        <v>187.07990879999997</v>
      </c>
      <c r="T22" s="37">
        <f>(' KF Africa'!H48+' KF Africa'!H49+' KF Africa'!H50+' KF Africa'!H52)*' KF Africa'!H140+(' KF Africa'!H51+' KF Africa'!H54)*' KF Africa'!H142+' KF Africa'!H53*' KF Africa'!H141</f>
        <v>0.42835584938200633</v>
      </c>
      <c r="U22" s="61"/>
      <c r="V22" s="92"/>
      <c r="W22" s="92"/>
      <c r="X22" s="92"/>
      <c r="Y22" s="92"/>
      <c r="Z22" s="92"/>
      <c r="AA22" s="92"/>
      <c r="AB22" s="92"/>
      <c r="AC22" s="92"/>
      <c r="AD22" s="92"/>
      <c r="AE22" s="92"/>
      <c r="AF22" s="92">
        <f>((' KF Africa'!G48+' KF Africa'!G49+' KF Africa'!G50+' KF Africa'!G52)*' KF Africa'!G140+(' KF Africa'!G51+' KF Africa'!G54)*' KF Africa'!G142+' KF Africa'!G53*' KF Africa'!G141)*' KF Africa'!H11*' KF Africa'!H5*-1</f>
        <v>187.07990879999997</v>
      </c>
      <c r="AG22" s="92">
        <f t="shared" si="9"/>
        <v>249.65956626472067</v>
      </c>
      <c r="AH22" s="87">
        <f>-(C22*Emissionsfaktorer!$B$2+D22*Emissionsfaktorer!$B$3+E22*Emissionsfaktorer!$B$4+F22*Emissionsfaktorer!$B$5+G22*Emissionsfaktorer!$B$6+H22*Emissionsfaktorer!$B$7+I22*Emissionsfaktorer!$B$8+J22*Emissionsfaktorer!$B$9+K22*Emissionsfaktorer!$B$10+L22*Emissionsfaktorer!$B$11+M22*Emissionsfaktorer!$B$12)</f>
        <v>16.743186308553327</v>
      </c>
    </row>
    <row r="23" spans="3:34" x14ac:dyDescent="0.35">
      <c r="C23" s="92">
        <f>AF23*' KF Africa'!H$56/T23*' KF Africa'!H$139/' KF Africa'!H$139*-1</f>
        <v>0</v>
      </c>
      <c r="D23" s="92"/>
      <c r="E23" s="92">
        <f>AF23*' KF Africa'!H57/T23*' KF Africa'!H$140/' KF Africa'!H$140*-1</f>
        <v>-5.1502559999999997</v>
      </c>
      <c r="F23" s="92">
        <f>AF23*' KF Africa'!H$58/T23*' KF Africa'!H$140/' KF Africa'!H$140*-1</f>
        <v>0</v>
      </c>
      <c r="G23" s="92"/>
      <c r="H23" s="92"/>
      <c r="I23" s="92">
        <f>AF23*' KF Africa'!H$59/T23*' KF Africa'!H$142/' KF Africa'!H$142*-1</f>
        <v>0</v>
      </c>
      <c r="J23" s="92">
        <f>AF23*' KF Africa'!H$60/T23*' KF Africa'!H$140/' KF Africa'!H$140*-1</f>
        <v>0</v>
      </c>
      <c r="K23" s="92">
        <f>AF23*' KF Africa'!H$61/T23*' KF Africa'!H$141/' KF Africa'!H$141*-1</f>
        <v>0</v>
      </c>
      <c r="L23" s="92">
        <f>AF23*' KF Africa'!H$62/T23*' KF Africa'!H$142/' KF Africa'!H$142*-1</f>
        <v>0</v>
      </c>
      <c r="M23" s="92"/>
      <c r="N23" s="23">
        <f t="shared" si="8"/>
        <v>-5.1502559999999997</v>
      </c>
      <c r="O23" s="84" t="s">
        <v>92</v>
      </c>
      <c r="P23" s="85" t="s">
        <v>93</v>
      </c>
      <c r="Q23" s="86" t="s">
        <v>85</v>
      </c>
      <c r="R23" s="86"/>
      <c r="S23" s="24">
        <f t="shared" si="1"/>
        <v>1.5450767999999999</v>
      </c>
      <c r="T23" s="37">
        <f>(' KF Africa'!H56+' KF Africa'!H57+' KF Africa'!H58+' KF Africa'!H60)*' KF Africa'!H140+(' KF Africa'!H59+' KF Africa'!H62)*' KF Africa'!H142+' KF Africa'!H61*' KF Africa'!H141</f>
        <v>0.3</v>
      </c>
      <c r="U23" s="61"/>
      <c r="V23" s="92"/>
      <c r="W23" s="92"/>
      <c r="X23" s="92"/>
      <c r="Y23" s="92"/>
      <c r="Z23" s="92"/>
      <c r="AA23" s="92"/>
      <c r="AB23" s="92"/>
      <c r="AC23" s="92"/>
      <c r="AD23" s="92"/>
      <c r="AE23" s="92"/>
      <c r="AF23" s="92">
        <f>((' KF Africa'!G56+' KF Africa'!G57+' KF Africa'!G58+' KF Africa'!G60)*' KF Africa'!G140+(' KF Africa'!G59+' KF Africa'!G62)*' KF Africa'!G142+' KF Africa'!G61*' KF Africa'!G141)*' KF Africa'!H5*' KF Africa'!H12*-1</f>
        <v>1.5450767999999999</v>
      </c>
      <c r="AG23" s="92">
        <f t="shared" si="9"/>
        <v>3.6051791999999998</v>
      </c>
      <c r="AH23" s="87">
        <f>-(C23*Emissionsfaktorer!$B$2+D23*Emissionsfaktorer!$B$3+E23*Emissionsfaktorer!$B$4+F23*Emissionsfaktorer!$B$5+G23*Emissionsfaktorer!$B$6+H23*Emissionsfaktorer!$B$7+I23*Emissionsfaktorer!$B$8+J23*Emissionsfaktorer!$B$9+K23*Emissionsfaktorer!$B$10+L23*Emissionsfaktorer!$B$11+M23*Emissionsfaktorer!$B$12)</f>
        <v>0.39141945599999994</v>
      </c>
    </row>
    <row r="24" spans="3:34" x14ac:dyDescent="0.35">
      <c r="C24" s="92">
        <f>AF24*' KF Africa'!H$64/T24*' KF Africa'!H$139/' KF Africa'!H$139*-1</f>
        <v>-5.8576218322275935</v>
      </c>
      <c r="D24" s="92"/>
      <c r="E24" s="92">
        <f>AF24*' KF Africa'!H65/T24*' KF Africa'!H$140/' KF Africa'!H$140*-1</f>
        <v>-113.76338401304876</v>
      </c>
      <c r="F24" s="92">
        <f>AF24*' KF Africa'!H$66/T24*' KF Africa'!H$140/' KF Africa'!H$140*-1</f>
        <v>-29.497309940860379</v>
      </c>
      <c r="G24" s="92"/>
      <c r="H24" s="92"/>
      <c r="I24" s="92">
        <f>AF24*' KF Africa'!H$67/T24*' KF Africa'!H$142/' KF Africa'!H$142*-1</f>
        <v>-5.3973801168382831</v>
      </c>
      <c r="J24" s="92">
        <f>AF24*' KF Africa'!H$68/T24*' KF Africa'!H$140/' KF Africa'!H$140*-1</f>
        <v>-19.45567251418451</v>
      </c>
      <c r="K24" s="92">
        <f>AF24*' KF Africa'!H$69/T24*' KF Africa'!H$141/' KF Africa'!H$141*-1</f>
        <v>-72.425309939899734</v>
      </c>
      <c r="L24" s="92">
        <f>AF24*' KF Africa'!H$70/T24*' KF Africa'!H$142/' KF Africa'!H$142*-1</f>
        <v>0</v>
      </c>
      <c r="M24" s="92"/>
      <c r="N24" s="23">
        <f t="shared" si="8"/>
        <v>-246.39667835705927</v>
      </c>
      <c r="O24" s="84" t="s">
        <v>94</v>
      </c>
      <c r="P24" s="85" t="s">
        <v>95</v>
      </c>
      <c r="Q24" s="86" t="s">
        <v>85</v>
      </c>
      <c r="R24" s="86"/>
      <c r="S24" s="24">
        <f t="shared" si="1"/>
        <v>209.0606152</v>
      </c>
      <c r="T24" s="37">
        <f>(' KF Africa'!H64+' KF Africa'!H65+' KF Africa'!H66+' KF Africa'!H68)*' KF Africa'!H139+(' KF Africa'!H67+' KF Africa'!H70)*' KF Africa'!H142+' KF Africa'!H69*' KF Africa'!H141</f>
        <v>0.848471726948548</v>
      </c>
      <c r="U24" s="61"/>
      <c r="V24" s="92"/>
      <c r="W24" s="92"/>
      <c r="X24" s="92"/>
      <c r="Y24" s="92"/>
      <c r="Z24" s="92"/>
      <c r="AA24" s="92"/>
      <c r="AB24" s="92"/>
      <c r="AC24" s="92"/>
      <c r="AD24" s="92"/>
      <c r="AE24" s="92"/>
      <c r="AF24" s="92">
        <f>((' KF Africa'!G64+' KF Africa'!G65+' KF Africa'!G66+' KF Africa'!G68)*' KF Africa'!G139+(' KF Africa'!G67+' KF Africa'!G70)*' KF Africa'!G142+' KF Africa'!G69*' KF Africa'!G141)*' KF Africa'!H5*' KF Africa'!H13*-1</f>
        <v>209.0606152</v>
      </c>
      <c r="AG24" s="92">
        <f t="shared" si="9"/>
        <v>37.336063157059272</v>
      </c>
      <c r="AH24" s="87">
        <f>-(C24*Emissionsfaktorer!$B$2+D24*Emissionsfaktorer!$B$3+E24*Emissionsfaktorer!$B$4+F24*Emissionsfaktorer!$B$5+G24*Emissionsfaktorer!$B$6+H24*Emissionsfaktorer!$B$7+I24*Emissionsfaktorer!$B$8+J24*Emissionsfaktorer!$B$9+K24*Emissionsfaktorer!$B$10+L24*Emissionsfaktorer!$B$11+M24*Emissionsfaktorer!$B$12)</f>
        <v>10.88383792568237</v>
      </c>
    </row>
    <row r="25" spans="3:34" x14ac:dyDescent="0.35"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23">
        <f>N16</f>
        <v>-24654.736064000001</v>
      </c>
      <c r="O25" s="10" t="s">
        <v>11</v>
      </c>
      <c r="P25" s="71" t="s">
        <v>96</v>
      </c>
      <c r="Q25" s="71"/>
      <c r="R25" s="71"/>
      <c r="S25" s="24">
        <f t="shared" si="1"/>
        <v>17334.550292281812</v>
      </c>
      <c r="T25" s="37">
        <f>AF25/N25*-1</f>
        <v>0.70309210560128965</v>
      </c>
      <c r="U25" s="61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>
        <f>AF16</f>
        <v>17334.550292281812</v>
      </c>
      <c r="AG25" s="14">
        <f>-(S25+N25)</f>
        <v>7320.1857717181883</v>
      </c>
      <c r="AH25" s="14"/>
    </row>
    <row r="28" spans="3:34" x14ac:dyDescent="0.35">
      <c r="X28" s="95"/>
    </row>
    <row r="29" spans="3:34" x14ac:dyDescent="0.35">
      <c r="X29" s="95"/>
    </row>
    <row r="30" spans="3:34" x14ac:dyDescent="0.35">
      <c r="X30" s="95"/>
    </row>
    <row r="31" spans="3:34" x14ac:dyDescent="0.35">
      <c r="E31" s="40"/>
    </row>
  </sheetData>
  <pageMargins left="0.7" right="0.7" top="0.75" bottom="0.75" header="0.3" footer="0.3"/>
  <pageSetup paperSize="9" orientation="portrait" horizontalDpi="4294967293" verticalDpi="4294967293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Ark8">
    <tabColor theme="9" tint="-0.499984740745262"/>
  </sheetPr>
  <dimension ref="A1:K142"/>
  <sheetViews>
    <sheetView zoomScale="80" zoomScaleNormal="80" workbookViewId="0">
      <pane ySplit="1" topLeftCell="A75" activePane="bottomLeft" state="frozen"/>
      <selection pane="bottomLeft" activeCell="L96" sqref="L96"/>
    </sheetView>
  </sheetViews>
  <sheetFormatPr defaultRowHeight="14.5" x14ac:dyDescent="0.35"/>
  <cols>
    <col min="1" max="1" width="70" customWidth="1"/>
    <col min="2" max="2" width="9.7265625" customWidth="1"/>
    <col min="10" max="10" width="15.81640625" customWidth="1"/>
    <col min="11" max="11" width="13.7265625" customWidth="1"/>
  </cols>
  <sheetData>
    <row r="1" spans="1:11" ht="16.5" customHeight="1" x14ac:dyDescent="0.35">
      <c r="A1" t="s">
        <v>128</v>
      </c>
      <c r="B1" s="76">
        <f>(('Africa 1995'!$B12+'Africa 1995'!$B13+'Africa 1995'!$B14+'Africa 1995'!$B20-'Africa 1995'!$B22+'Africa 1995'!$B30)*Emissionsfaktorer!$B2*-1+('Africa 1995'!$D22-'Africa 1995'!$D30-'Africa 1995'!$D12-'Africa 1995'!$D13-'Africa 1995'!$D14-'Africa 1995'!$D20)*Emissionsfaktorer!$B4+('Africa 1995'!$E12+'Africa 1995'!$E13+'Africa 1995'!$E14+'Africa 1995'!$E20-'Africa 1995'!$E22+'Africa 1995'!$E30)*Emissionsfaktorer!$B5*-1)*0.041872</f>
        <v>591.14600683200001</v>
      </c>
      <c r="C1" s="76">
        <f>(('Africa 2000'!$B12+'Africa 2000'!$B13+'Africa 2000'!$B14+'Africa 2000'!$B20-'Africa 2000'!$B22+'Africa 2000'!$B30)*Emissionsfaktorer!$B2*-1+('Africa 2000'!$D22-'Africa 2000'!$D30-'Africa 2000'!$D12-'Africa 2000'!$D13-'Africa 2000'!$D14-'Africa 2000'!$D20)*Emissionsfaktorer!$B4+('Africa 2000'!$E12+'Africa 2000'!$E13+'Africa 2000'!$E14+'Africa 2000'!$E20-'Africa 2000'!$E22+'Africa 2000'!$E30)*Emissionsfaktorer!$B5*-1)*0.041872</f>
        <v>678.813622592</v>
      </c>
      <c r="D1" s="76">
        <f>(('Africa 2005'!$B12+'Africa 2005'!$B13+'Africa 2005'!$B14+'Africa 2005'!$B20-'Africa 2005'!$B22+'Africa 2005'!$B30)*Emissionsfaktorer!$B2*-1+('Africa 2005'!$D22-'Africa 2005'!$D30-'Africa 2005'!$D12-'Africa 2005'!$D13-'Africa 2005'!$D14-'Africa 2005'!$D20)*Emissionsfaktorer!$B4+('Africa 2005'!$E12+'Africa 2005'!$E13+'Africa 2005'!$E14+'Africa 2005'!$E20-'Africa 2005'!$E22+'Africa 2005'!$E30)*Emissionsfaktorer!$B5*-1)*0.041872</f>
        <v>888.83880118399998</v>
      </c>
      <c r="E1" s="76">
        <f>(('Africa 2010'!$B12+'Africa 2010'!$B13+'Africa 2010'!$B14+'Africa 2010'!$B20-'Africa 2010'!$B22+'Africa 2010'!$B30)*Emissionsfaktorer!$B2*-1+('Africa 2010'!$D22-'Africa 2010'!$D30-'Africa 2010'!$D12-'Africa 2010'!$D13-'Africa 2010'!$D14-'Africa 2010'!$D20)*Emissionsfaktorer!$B4+('Africa 2010'!$E12+'Africa 2010'!$E13+'Africa 2010'!$E14+'Africa 2010'!$E20-'Africa 2010'!$E22+'Africa 2010'!$E30)*Emissionsfaktorer!$B5*-1)*0.041872</f>
        <v>1045.7852739519999</v>
      </c>
      <c r="F1" s="76">
        <f>(('Africa 2015'!$B12+'Africa 2015'!$B13+'Africa 2015'!$B14+'Africa 2015'!$B20-'Africa 2015'!$B22+'Africa 2015'!$B30)*Emissionsfaktorer!$B2*-1+('Africa 2015'!$D22-'Africa 2015'!$D30-'Africa 2015'!$D12-'Africa 2015'!$D13-'Africa 2015'!$D14-'Africa 2015'!$D20)*Emissionsfaktorer!$B4+('Africa 2015'!$E12+'Africa 2015'!$E13+'Africa 2015'!$E14+'Africa 2015'!$E20-'Africa 2015'!$E22+'Africa 2015'!$E30)*Emissionsfaktorer!$B5*-1)*0.041872</f>
        <v>1191.8849726079998</v>
      </c>
      <c r="G1" s="76">
        <f>(('Africa 2018'!$B12+'Africa 2018'!$B13+'Africa 2018'!$B14+'Africa 2018'!$B20-'Africa 2018'!$B22+'Africa 2018'!$B30)*Emissionsfaktorer!$B2*-1+('Africa 2018'!$D22-'Africa 2018'!$D30-'Africa 2018'!$D12-'Africa 2018'!$D13-'Africa 2018'!$D14-'Africa 2018'!$D20)*Emissionsfaktorer!$B4+('Africa 2018'!$E12+'Africa 2018'!$E13+'Africa 2018'!$E14+'Africa 2018'!$E20-'Africa 2018'!$E22+'Africa 2018'!$E30)*Emissionsfaktorer!$B5*-1)*0.041872</f>
        <v>1273.4004610239999</v>
      </c>
      <c r="H1" s="83">
        <f>'BL Africa 2030'!AH8+'BL Africa 2030'!AH16</f>
        <v>1283.6217425115954</v>
      </c>
      <c r="I1" s="83">
        <f>'BL Africa 2050'!AH8+'BL Africa 2050'!AH16</f>
        <v>1283.6217425115954</v>
      </c>
    </row>
    <row r="2" spans="1:11" ht="16.5" customHeight="1" x14ac:dyDescent="0.35">
      <c r="B2" s="76">
        <f>' KF Middle East'!B1+' KF Africa'!B1+' KF China'!B1+' KF Asia excluding China'!B1+' KF Non-OECD Americas'!B1+' KF Non-OECD Europe Eurasia '!B1+' KF OECD Europe'!B1+' KF OECD Asia Oceania'!B1+' KF OECD Americas'!B1</f>
        <v>20512.548212767997</v>
      </c>
      <c r="C2" s="76">
        <f>' KF Middle East'!C1+' KF Africa'!C1+' KF China'!C1+' KF Asia excluding China'!C1+' KF Non-OECD Americas'!C1+' KF Non-OECD Europe Eurasia '!C1+' KF OECD Europe'!C1+' KF OECD Asia Oceania'!C1+' KF OECD Americas'!C1</f>
        <v>22293.933162016001</v>
      </c>
      <c r="D2" s="76">
        <f>' KF Middle East'!D1+' KF Africa'!D1+' KF China'!D1+' KF Asia excluding China'!D1+' KF Non-OECD Americas'!D1+' KF Non-OECD Europe Eurasia '!D1+' KF OECD Europe'!D1+' KF OECD Asia Oceania'!D1+' KF OECD Americas'!D1</f>
        <v>25992.162037168</v>
      </c>
      <c r="E2" s="76">
        <f>' KF Middle East'!E1+' KF Africa'!E1+' KF China'!E1+' KF Asia excluding China'!E1+' KF Non-OECD Americas'!E1+' KF Non-OECD Europe Eurasia '!E1+' KF OECD Europe'!E1+' KF OECD Asia Oceania'!E1+' KF OECD Americas'!E1</f>
        <v>29123.978319039998</v>
      </c>
      <c r="F2" s="76">
        <f>' KF Middle East'!F1+' KF Africa'!F1+' KF China'!F1+' KF Asia excluding China'!F1+' KF Non-OECD Americas'!F1+' KF Non-OECD Europe Eurasia '!F1+' KF OECD Europe'!F1+' KF OECD Asia Oceania'!F1+' KF OECD Americas'!F1</f>
        <v>30670.019138096002</v>
      </c>
      <c r="G2" s="76">
        <f>' KF Middle East'!G1+' KF Africa'!G1+' KF China'!G1+' KF Asia excluding China'!G1+' KF Non-OECD Americas'!G1+' KF Non-OECD Europe Eurasia '!G1+' KF OECD Europe'!G1+' KF OECD Asia Oceania'!G1+' KF OECD Americas'!G1</f>
        <v>31652.588578768002</v>
      </c>
      <c r="H2" s="101">
        <f>' KF Middle East'!H1+' KF Africa'!H1+' KF China'!H1+' KF Asia excluding China'!H1+' KF Non-OECD Americas'!H1+' KF Non-OECD Europe Eurasia '!H1+' KF OECD Europe'!H1+' KF OECD Asia Oceania'!H1+' KF OECD Americas'!H1</f>
        <v>31634.759971648018</v>
      </c>
      <c r="I2" s="101">
        <f>' KF Middle East'!I1+' KF Africa'!I1+' KF China'!I1+' KF Asia excluding China'!I1+' KF Non-OECD Americas'!I1+' KF Non-OECD Europe Eurasia '!I1+' KF OECD Europe'!I1+' KF OECD Asia Oceania'!I1+' KF OECD Americas'!I1</f>
        <v>31634.759971648018</v>
      </c>
      <c r="J2" t="s">
        <v>129</v>
      </c>
    </row>
    <row r="3" spans="1:11" ht="15.75" customHeight="1" x14ac:dyDescent="0.35">
      <c r="B3" s="117" t="s">
        <v>130</v>
      </c>
      <c r="C3" s="117"/>
      <c r="D3" s="117"/>
      <c r="E3" s="117"/>
      <c r="F3" s="117"/>
      <c r="G3" s="117"/>
      <c r="H3" s="117"/>
      <c r="I3" s="117"/>
    </row>
    <row r="4" spans="1:11" ht="15" customHeight="1" x14ac:dyDescent="0.35">
      <c r="B4" s="41">
        <v>1995</v>
      </c>
      <c r="C4" s="114">
        <v>2000</v>
      </c>
      <c r="D4" s="114">
        <v>2005</v>
      </c>
      <c r="E4" s="114">
        <v>2010</v>
      </c>
      <c r="F4" s="114">
        <v>2015</v>
      </c>
      <c r="G4" s="114">
        <v>2018</v>
      </c>
      <c r="H4" s="35">
        <v>2030</v>
      </c>
      <c r="I4" s="35">
        <v>2050</v>
      </c>
    </row>
    <row r="5" spans="1:11" x14ac:dyDescent="0.35">
      <c r="A5" s="30" t="s">
        <v>131</v>
      </c>
      <c r="B5" s="7">
        <f>('Africa 1995'!$L22-'Africa 1995'!$L30)*0.041872*-1</f>
        <v>-12922.997232</v>
      </c>
      <c r="C5" s="7">
        <f>('Africa 2000'!$L22-'Africa 2000'!$L30)*0.041872*-1</f>
        <v>-14649.966</v>
      </c>
      <c r="D5" s="7">
        <f>('Africa 2005'!$L22-'Africa 2005'!$L30)*0.041872*-1</f>
        <v>-17499.690576000001</v>
      </c>
      <c r="E5" s="7">
        <f>('Africa 2010'!$L22-'Africa 2010'!$L30)*0.041872*-1</f>
        <v>-20023.692864000001</v>
      </c>
      <c r="F5" s="7">
        <f>('Africa 2015'!$L22-'Africa 2015'!$L30)*0.041872*-1</f>
        <v>-22969.932400000002</v>
      </c>
      <c r="G5" s="7">
        <f>('Africa 2018'!$L22-'Africa 2018'!$L30)*0.041872*-1</f>
        <v>-24654.736064000001</v>
      </c>
      <c r="H5" s="79">
        <f>G5</f>
        <v>-24654.736064000001</v>
      </c>
      <c r="I5" s="79">
        <f>H5</f>
        <v>-24654.736064000001</v>
      </c>
      <c r="K5" s="34"/>
    </row>
    <row r="6" spans="1:11" x14ac:dyDescent="0.35">
      <c r="A6" s="31" t="s">
        <v>132</v>
      </c>
      <c r="B6" s="80"/>
      <c r="C6" s="80"/>
      <c r="D6" s="80"/>
      <c r="E6" s="80"/>
      <c r="F6" s="80"/>
      <c r="G6" s="80"/>
      <c r="H6" s="33"/>
      <c r="I6" s="33"/>
    </row>
    <row r="7" spans="1:11" x14ac:dyDescent="0.35">
      <c r="A7" s="30" t="s">
        <v>133</v>
      </c>
      <c r="B7" s="40">
        <f>('Africa 1995'!$L23/B$5*0.041872*-1)</f>
        <v>0.16023989813077752</v>
      </c>
      <c r="C7" s="40">
        <f>('Africa 2000'!$L23/C$5*0.041872*-1)</f>
        <v>0.16280957484816005</v>
      </c>
      <c r="D7" s="40">
        <f>('Africa 2005'!$L23/D$5*0.041872*-1)</f>
        <v>0.17997143082742928</v>
      </c>
      <c r="E7" s="40">
        <f>('Africa 2010'!$L23/E$5*0.041872*-1)</f>
        <v>0.17946642911512051</v>
      </c>
      <c r="F7" s="40">
        <f>('Africa 2015'!$L23/F$5*0.041872*-1)</f>
        <v>0.16088046301781889</v>
      </c>
      <c r="G7" s="40">
        <f>('Africa 2018'!$L23/G$5*0.041872*-1)</f>
        <v>0.15431411044611862</v>
      </c>
      <c r="H7" s="77">
        <f t="shared" ref="H7:I68" si="0">G7</f>
        <v>0.15431411044611862</v>
      </c>
      <c r="I7" s="77">
        <f>H7</f>
        <v>0.15431411044611862</v>
      </c>
    </row>
    <row r="8" spans="1:11" x14ac:dyDescent="0.35">
      <c r="A8" s="30" t="s">
        <v>134</v>
      </c>
      <c r="B8" s="40">
        <f>'Africa 1995'!$L24/B$5*0.041872*-1</f>
        <v>0.14774925396347094</v>
      </c>
      <c r="C8" s="40">
        <f>'Africa 2000'!$L24/C$5*0.041872*-1</f>
        <v>0.15694176491604145</v>
      </c>
      <c r="D8" s="40">
        <f>'Africa 2005'!$L24/D$5*0.041872*-1</f>
        <v>0.16262175994716854</v>
      </c>
      <c r="E8" s="40">
        <f>'Africa 2010'!$L24/E$5*0.041872*-1</f>
        <v>0.18385569580018901</v>
      </c>
      <c r="F8" s="40">
        <f>'Africa 2015'!$L24/F$5*0.041872*-1</f>
        <v>0.20297315772683772</v>
      </c>
      <c r="G8" s="40">
        <f>'Africa 2018'!$L24/G$5*0.041872*-1</f>
        <v>0.21000081520077712</v>
      </c>
      <c r="H8" s="77">
        <f t="shared" si="0"/>
        <v>0.21000081520077712</v>
      </c>
      <c r="I8" s="77">
        <f t="shared" si="0"/>
        <v>0.21000081520077712</v>
      </c>
    </row>
    <row r="9" spans="1:11" x14ac:dyDescent="0.35">
      <c r="A9" s="30" t="s">
        <v>135</v>
      </c>
      <c r="B9" s="40">
        <f>'Africa 1995'!$L25/B$5*0.041872*-1</f>
        <v>0.63309583288781746</v>
      </c>
      <c r="C9" s="40">
        <f>'Africa 2000'!$L25/C$5*0.041872*-1</f>
        <v>0.61845230439442656</v>
      </c>
      <c r="D9" s="40">
        <f>'Africa 2005'!$L25/D$5*0.041872*-1</f>
        <v>0.59333912373514408</v>
      </c>
      <c r="E9" s="40">
        <f>'Africa 2010'!$L25/E$5*0.041872*-1</f>
        <v>0.56662317131314144</v>
      </c>
      <c r="F9" s="40">
        <f>'Africa 2015'!$L25/F$5*0.041872*-1</f>
        <v>0.56278722143736037</v>
      </c>
      <c r="G9" s="40">
        <f>'Africa 2018'!$L25/G$5*0.041872*-1</f>
        <v>0.56350923554547117</v>
      </c>
      <c r="H9" s="89">
        <f>1-H7-H8-H10-H11-H12-H13</f>
        <v>0.56351263221537606</v>
      </c>
      <c r="I9" s="89">
        <f>1-I7-I8-I10-I11-I12-I13</f>
        <v>0.56351263221537606</v>
      </c>
    </row>
    <row r="10" spans="1:11" x14ac:dyDescent="0.35">
      <c r="A10" s="30" t="s">
        <v>136</v>
      </c>
      <c r="B10" s="40">
        <f>'Africa 1995'!$L26/B$5*0.041872*-1</f>
        <v>2.7871471109512654E-2</v>
      </c>
      <c r="C10" s="40">
        <f>'Africa 2000'!$L26/C$5*0.041872*-1</f>
        <v>3.2382993926402287E-2</v>
      </c>
      <c r="D10" s="40">
        <f>'Africa 2005'!$L26/D$5*0.041872*-1</f>
        <v>3.5505691103597942E-2</v>
      </c>
      <c r="E10" s="40">
        <f>'Africa 2010'!$L26/E$5*0.041872*-1</f>
        <v>3.7598387326123139E-2</v>
      </c>
      <c r="F10" s="40">
        <f>'Africa 2015'!$L26/F$5*0.041872*-1</f>
        <v>4.2253110331312946E-2</v>
      </c>
      <c r="G10" s="40">
        <f>'Africa 2018'!$L26/G$5*0.041872*-1</f>
        <v>4.4236530505492408E-2</v>
      </c>
      <c r="H10" s="88">
        <f t="shared" si="0"/>
        <v>4.4236530505492408E-2</v>
      </c>
      <c r="I10" s="88">
        <f t="shared" si="0"/>
        <v>4.4236530505492408E-2</v>
      </c>
    </row>
    <row r="11" spans="1:11" x14ac:dyDescent="0.35">
      <c r="A11" s="30" t="s">
        <v>137</v>
      </c>
      <c r="B11" s="40">
        <f>'Africa 1995'!$L27/B$5*0.041872*-1</f>
        <v>1.6706034066571406E-2</v>
      </c>
      <c r="C11" s="40">
        <f>'Africa 2000'!$L27/C$5*0.041872*-1</f>
        <v>1.6628795998570919E-2</v>
      </c>
      <c r="D11" s="40">
        <f>'Africa 2005'!$L27/D$5*0.041872*-1</f>
        <v>1.953901701947441E-2</v>
      </c>
      <c r="E11" s="40">
        <f>'Africa 2010'!$L27/E$5*0.041872*-1</f>
        <v>2.0170970197318346E-2</v>
      </c>
      <c r="F11" s="40">
        <f>'Africa 2015'!$L27/F$5*0.041872*-1</f>
        <v>1.7935560315362527E-2</v>
      </c>
      <c r="G11" s="40">
        <f>'Africa 2018'!$L27/G$5*0.041872*-1</f>
        <v>1.7725521898330876E-2</v>
      </c>
      <c r="H11" s="88">
        <f t="shared" si="0"/>
        <v>1.7725521898330876E-2</v>
      </c>
      <c r="I11" s="88">
        <f t="shared" si="0"/>
        <v>1.7725521898330876E-2</v>
      </c>
    </row>
    <row r="12" spans="1:11" x14ac:dyDescent="0.35">
      <c r="A12" s="30" t="s">
        <v>138</v>
      </c>
      <c r="B12" s="40">
        <f>'Africa 1995'!$L28/B$5*0.041872*-1</f>
        <v>0</v>
      </c>
      <c r="C12" s="40">
        <f>'Africa 2000'!$L28/C$5*0.041872*-1</f>
        <v>3.8871025366202212E-4</v>
      </c>
      <c r="D12" s="40">
        <f>'Africa 2005'!$L28/D$5*0.041872*-1</f>
        <v>3.9958557950676299E-4</v>
      </c>
      <c r="E12" s="40">
        <f>'Africa 2010'!$L28/E$5*0.041872*-1</f>
        <v>1.923832944384499E-4</v>
      </c>
      <c r="F12" s="40">
        <f>'Africa 2015'!$L28/F$5*0.041872*-1</f>
        <v>1.3307205031217245E-4</v>
      </c>
      <c r="G12" s="40">
        <f>'Africa 2018'!$L28/G$5*0.041872*-1</f>
        <v>2.0889519914675652E-4</v>
      </c>
      <c r="H12" s="88">
        <f t="shared" si="0"/>
        <v>2.0889519914675652E-4</v>
      </c>
      <c r="I12" s="88">
        <f t="shared" si="0"/>
        <v>2.0889519914675652E-4</v>
      </c>
    </row>
    <row r="13" spans="1:11" x14ac:dyDescent="0.35">
      <c r="A13" s="30" t="s">
        <v>139</v>
      </c>
      <c r="B13" s="40">
        <f>'Africa 1995'!$L29/B$5*0.041872*-1</f>
        <v>1.4353710417942461E-2</v>
      </c>
      <c r="C13" s="40">
        <f>'Africa 2000'!$L29/C$5*0.041872*-1</f>
        <v>1.2395855662736693E-2</v>
      </c>
      <c r="D13" s="40">
        <f>'Africa 2005'!$L29/D$5*0.041872*-1</f>
        <v>8.620999059657887E-3</v>
      </c>
      <c r="E13" s="40">
        <f>'Africa 2010'!$L29/E$5*0.041872*-1</f>
        <v>1.2076233971544E-2</v>
      </c>
      <c r="F13" s="40">
        <f>'Africa 2015'!$L29/F$5*0.041872*-1</f>
        <v>1.3051998359385681E-2</v>
      </c>
      <c r="G13" s="40">
        <f>'Africa 2018'!$L29/G$5*0.041872*-1</f>
        <v>1.0001494534758123E-2</v>
      </c>
      <c r="H13" s="88">
        <f t="shared" si="0"/>
        <v>1.0001494534758123E-2</v>
      </c>
      <c r="I13" s="88">
        <f t="shared" si="0"/>
        <v>1.0001494534758123E-2</v>
      </c>
    </row>
    <row r="14" spans="1:11" x14ac:dyDescent="0.35">
      <c r="A14" s="31" t="s">
        <v>140</v>
      </c>
      <c r="B14" s="81"/>
      <c r="C14" s="81"/>
      <c r="D14" s="81"/>
      <c r="E14" s="81"/>
      <c r="F14" s="81"/>
      <c r="G14" s="81"/>
      <c r="H14" s="42"/>
      <c r="I14" s="42"/>
    </row>
    <row r="15" spans="1:11" x14ac:dyDescent="0.35">
      <c r="A15" s="30" t="s">
        <v>141</v>
      </c>
      <c r="B15" s="40">
        <f>'Africa 1995'!$B23/'Africa 1995'!$L23</f>
        <v>0.20588413709432818</v>
      </c>
      <c r="C15" s="40">
        <f>'Africa 2000'!$B23/'Africa 2000'!$L23</f>
        <v>0.20316696803188034</v>
      </c>
      <c r="D15" s="40">
        <f>'Africa 2005'!$B23/'Africa 2005'!$L23</f>
        <v>0.19303073814082111</v>
      </c>
      <c r="E15" s="40">
        <f>'Africa 2010'!$B23/'Africa 2010'!$L23</f>
        <v>0.14536895703948824</v>
      </c>
      <c r="F15" s="40">
        <f>'Africa 2015'!$B23/'Africa 2015'!$L23</f>
        <v>0.14691518894113648</v>
      </c>
      <c r="G15" s="40">
        <f>'Africa 2018'!$B23/'Africa 2018'!$L23</f>
        <v>0.16394092139728381</v>
      </c>
      <c r="H15" s="77">
        <f t="shared" si="0"/>
        <v>0.16394092139728381</v>
      </c>
      <c r="I15" s="77">
        <f t="shared" si="0"/>
        <v>0.16394092139728381</v>
      </c>
    </row>
    <row r="16" spans="1:11" x14ac:dyDescent="0.35">
      <c r="A16" s="30" t="s">
        <v>142</v>
      </c>
      <c r="B16" s="40">
        <f>'Africa 1995'!$C23/'Africa 1995'!$L23</f>
        <v>6.874936811242544E-4</v>
      </c>
      <c r="C16" s="40">
        <f>'Africa 2000'!$C23/'Africa 2000'!$L23</f>
        <v>5.0910239980338115E-4</v>
      </c>
      <c r="D16" s="40">
        <f>'Africa 2005'!$C23/'Africa 2005'!$L23</f>
        <v>9.0406296532652625E-4</v>
      </c>
      <c r="E16" s="40">
        <f>'Africa 2010'!$C23/'Africa 2010'!$L23</f>
        <v>0</v>
      </c>
      <c r="F16" s="40">
        <f>'Africa 2015'!$C23/'Africa 2015'!$L23</f>
        <v>0</v>
      </c>
      <c r="G16" s="40">
        <f>'Africa 2018'!$C23/'Africa 2018'!$L23</f>
        <v>0</v>
      </c>
      <c r="H16" s="77">
        <f t="shared" si="0"/>
        <v>0</v>
      </c>
      <c r="I16" s="77">
        <f t="shared" si="0"/>
        <v>0</v>
      </c>
    </row>
    <row r="17" spans="1:9" x14ac:dyDescent="0.35">
      <c r="A17" s="30" t="s">
        <v>143</v>
      </c>
      <c r="B17" s="40">
        <f>'Africa 1995'!$D23/'Africa 1995'!$L23</f>
        <v>0.25435244161358811</v>
      </c>
      <c r="C17" s="40">
        <f>'Africa 2000'!$D23/'Africa 2000'!$L23</f>
        <v>0.23093938170391307</v>
      </c>
      <c r="D17" s="40">
        <f>'Africa 2005'!$D23/'Africa 2005'!$L23</f>
        <v>0.19889385237183577</v>
      </c>
      <c r="E17" s="40">
        <f>'Africa 2010'!$D23/'Africa 2010'!$L23</f>
        <v>0.20009787586078323</v>
      </c>
      <c r="F17" s="40">
        <f>'Africa 2015'!$D23/'Africa 2015'!$L23</f>
        <v>0.20653787320831682</v>
      </c>
      <c r="G17" s="40">
        <f>'Africa 2018'!$D23/'Africa 2018'!$L23</f>
        <v>0.18903391957033744</v>
      </c>
      <c r="H17" s="77">
        <f t="shared" si="0"/>
        <v>0.18903391957033744</v>
      </c>
      <c r="I17" s="77">
        <f t="shared" si="0"/>
        <v>0.18903391957033744</v>
      </c>
    </row>
    <row r="18" spans="1:9" x14ac:dyDescent="0.35">
      <c r="A18" s="30" t="s">
        <v>241</v>
      </c>
      <c r="B18" s="40">
        <f>'Africa 1995'!$E23/'Africa 1995'!$L23</f>
        <v>9.0385198665453442E-2</v>
      </c>
      <c r="C18" s="40">
        <f>'Africa 2000'!$E23/'Africa 2000'!$L23</f>
        <v>0.10664817513122553</v>
      </c>
      <c r="D18" s="40">
        <f>'Africa 2005'!$E23/'Africa 2005'!$L23</f>
        <v>0.16715858328015315</v>
      </c>
      <c r="E18" s="40">
        <f>'Africa 2010'!$E23/'Africa 2010'!$L23</f>
        <v>0.17343835568553884</v>
      </c>
      <c r="F18" s="40">
        <f>'Africa 2015'!$E23/'Africa 2015'!$L23</f>
        <v>0.19383604328366666</v>
      </c>
      <c r="G18" s="40">
        <f>'Africa 2018'!$E23/'Africa 2018'!$L23</f>
        <v>0.21734058242169443</v>
      </c>
      <c r="H18" s="77">
        <f t="shared" si="0"/>
        <v>0.21734058242169443</v>
      </c>
      <c r="I18" s="77">
        <f t="shared" si="0"/>
        <v>0.21734058242169443</v>
      </c>
    </row>
    <row r="19" spans="1:9" x14ac:dyDescent="0.35">
      <c r="A19" s="30" t="s">
        <v>145</v>
      </c>
      <c r="B19" s="40">
        <f>'Africa 1995'!$H23/'Africa 1995'!$L23</f>
        <v>0</v>
      </c>
      <c r="C19" s="40">
        <f>'Africa 2000'!$H23/'Africa 2000'!$L23</f>
        <v>0</v>
      </c>
      <c r="D19" s="40">
        <f>'Africa 2005'!$H23/'Africa 2005'!$L23</f>
        <v>0</v>
      </c>
      <c r="E19" s="40">
        <f>'Africa 2010'!$H23/'Africa 2010'!$L23</f>
        <v>0</v>
      </c>
      <c r="F19" s="40">
        <f>'Africa 2015'!$H23/'Africa 2015'!$L23</f>
        <v>0</v>
      </c>
      <c r="G19" s="40">
        <f>'Africa 2018'!$H23/'Africa 2018'!$L23</f>
        <v>0</v>
      </c>
      <c r="H19" s="77">
        <f t="shared" si="0"/>
        <v>0</v>
      </c>
      <c r="I19" s="77">
        <f t="shared" si="0"/>
        <v>0</v>
      </c>
    </row>
    <row r="20" spans="1:9" x14ac:dyDescent="0.35">
      <c r="A20" s="30" t="s">
        <v>146</v>
      </c>
      <c r="B20" s="40">
        <f>'Africa 1995'!$I23/'Africa 1995'!$L23</f>
        <v>0.19506622181781416</v>
      </c>
      <c r="C20" s="40">
        <f>'Africa 2000'!$I23/'Africa 2000'!$L23</f>
        <v>0.19372224075276934</v>
      </c>
      <c r="D20" s="40">
        <f>'Africa 2005'!$I23/'Africa 2005'!$L23</f>
        <v>0.19797649436290152</v>
      </c>
      <c r="E20" s="40">
        <f>'Africa 2010'!$I23/'Africa 2010'!$L23</f>
        <v>0.23987742213625718</v>
      </c>
      <c r="F20" s="40">
        <f>'Africa 2015'!$I23/'Africa 2015'!$L23</f>
        <v>0.2116254036598493</v>
      </c>
      <c r="G20" s="40">
        <f>'Africa 2018'!$I23/'Africa 2018'!$L23</f>
        <v>0.18004226189165987</v>
      </c>
      <c r="H20" s="77">
        <f t="shared" si="0"/>
        <v>0.18004226189165987</v>
      </c>
      <c r="I20" s="77">
        <f t="shared" si="0"/>
        <v>0.18004226189165987</v>
      </c>
    </row>
    <row r="21" spans="1:9" x14ac:dyDescent="0.35">
      <c r="A21" s="30" t="s">
        <v>147</v>
      </c>
      <c r="B21" s="40">
        <f>'Africa 1995'!$J23/'Africa 1995'!$L23</f>
        <v>0.25356384592053383</v>
      </c>
      <c r="C21" s="40">
        <f>'Africa 2000'!$J23/'Africa 2000'!$L23</f>
        <v>0.26506679774590525</v>
      </c>
      <c r="D21" s="40">
        <f>'Africa 2005'!$J23/'Africa 2005'!$L23</f>
        <v>0.24200967879174642</v>
      </c>
      <c r="E21" s="40">
        <f>'Africa 2010'!$J23/'Africa 2010'!$L23</f>
        <v>0.24125234494249792</v>
      </c>
      <c r="F21" s="40">
        <f>'Africa 2015'!$J23/'Africa 2015'!$L23</f>
        <v>0.24107416010424337</v>
      </c>
      <c r="G21" s="40">
        <f>'Africa 2018'!$J23/'Africa 2018'!$L23</f>
        <v>0.24959829191521207</v>
      </c>
      <c r="H21" s="89">
        <f>1-H15-H16-H17-H18-H19-H20-H22</f>
        <v>0.24964231471902451</v>
      </c>
      <c r="I21" s="89">
        <f>1-I15-I16-I17-I18-I19-I20-I22</f>
        <v>0.24964231471902451</v>
      </c>
    </row>
    <row r="22" spans="1:9" x14ac:dyDescent="0.35">
      <c r="A22" s="30" t="s">
        <v>148</v>
      </c>
      <c r="B22" s="40">
        <f>'Africa 1995'!$K23/'Africa 1995'!$L23</f>
        <v>0</v>
      </c>
      <c r="C22" s="40">
        <f>'Africa 2000'!$K23/'Africa 2000'!$L23</f>
        <v>0</v>
      </c>
      <c r="D22" s="40">
        <f>'Africa 2005'!$K23/'Africa 2005'!$L23</f>
        <v>0</v>
      </c>
      <c r="E22" s="40">
        <f>'Africa 2010'!$K23/'Africa 2010'!$L23</f>
        <v>0</v>
      </c>
      <c r="F22" s="40">
        <f>'Africa 2015'!$K23/'Africa 2015'!$L23</f>
        <v>0</v>
      </c>
      <c r="G22" s="40">
        <f>'Africa 2018'!$K23/'Africa 2018'!$L23</f>
        <v>0</v>
      </c>
      <c r="H22" s="77">
        <f t="shared" si="0"/>
        <v>0</v>
      </c>
      <c r="I22" s="77">
        <f t="shared" si="0"/>
        <v>0</v>
      </c>
    </row>
    <row r="23" spans="1:9" x14ac:dyDescent="0.35">
      <c r="A23" s="31" t="s">
        <v>149</v>
      </c>
      <c r="B23" s="81"/>
      <c r="C23" s="81"/>
      <c r="D23" s="81"/>
      <c r="E23" s="81"/>
      <c r="F23" s="81"/>
      <c r="G23" s="81"/>
      <c r="H23" s="42"/>
      <c r="I23" s="42"/>
    </row>
    <row r="24" spans="1:9" x14ac:dyDescent="0.35">
      <c r="A24" s="30" t="s">
        <v>141</v>
      </c>
      <c r="B24" s="40">
        <f>'Africa 1995'!$B24/'Africa 1995'!$L24</f>
        <v>1.25E-3</v>
      </c>
      <c r="C24" s="40">
        <f>'Africa 2000'!$B24/'Africa 2000'!$L24</f>
        <v>2.0032780914223274E-4</v>
      </c>
      <c r="D24" s="40">
        <f>'Africa 2005'!$B24/'Africa 2005'!$L24</f>
        <v>1.1770764364010888E-4</v>
      </c>
      <c r="E24" s="40">
        <f>'Africa 2010'!$B24/'Africa 2010'!$L24</f>
        <v>9.0989740906712764E-5</v>
      </c>
      <c r="F24" s="40">
        <f>'Africa 2015'!$B24/'Africa 2015'!$L24</f>
        <v>8.9810141361162504E-5</v>
      </c>
      <c r="G24" s="40">
        <f>'Africa 2018'!$B24/'Africa 2018'!$L24</f>
        <v>6.4698223225044687E-5</v>
      </c>
      <c r="H24" s="77">
        <f t="shared" si="0"/>
        <v>6.4698223225044687E-5</v>
      </c>
      <c r="I24" s="77">
        <f t="shared" si="0"/>
        <v>6.4698223225044687E-5</v>
      </c>
    </row>
    <row r="25" spans="1:9" x14ac:dyDescent="0.35">
      <c r="A25" s="30" t="s">
        <v>143</v>
      </c>
      <c r="B25" s="40">
        <f>'Africa 1995'!$D24/'Africa 1995'!$L24</f>
        <v>0.97923245614035093</v>
      </c>
      <c r="C25" s="40">
        <f>'Africa 2000'!$D24/'Africa 2000'!$L24</f>
        <v>0.97810963394645789</v>
      </c>
      <c r="D25" s="40">
        <f>'Africa 2005'!$D24/'Africa 2005'!$L24</f>
        <v>0.97074965055543294</v>
      </c>
      <c r="E25" s="40">
        <f>'Africa 2010'!$D24/'Africa 2010'!$L24</f>
        <v>0.98024385250562995</v>
      </c>
      <c r="F25" s="40">
        <f>'Africa 2015'!$D24/'Africa 2015'!$L24</f>
        <v>0.98616923823038094</v>
      </c>
      <c r="G25" s="40">
        <f>'Africa 2018'!$D24/'Africa 2018'!$L24</f>
        <v>0.98547524888597748</v>
      </c>
      <c r="H25" s="89">
        <f>1-H24-H26-H27-H28-H29-H30</f>
        <v>0.98597666011597163</v>
      </c>
      <c r="I25" s="89">
        <f>1-I24-I26-I27-I28-I29-I30</f>
        <v>0.98597666011597163</v>
      </c>
    </row>
    <row r="26" spans="1:9" x14ac:dyDescent="0.35">
      <c r="A26" s="30" t="s">
        <v>241</v>
      </c>
      <c r="B26" s="40">
        <f>'Africa 1995'!$E24/'Africa 1995'!$L24</f>
        <v>1.013157894736842E-2</v>
      </c>
      <c r="C26" s="40">
        <f>'Africa 2000'!$E24/'Africa 2000'!$L24</f>
        <v>1.2056091786559826E-2</v>
      </c>
      <c r="D26" s="40">
        <f>'Africa 2005'!$E24/'Africa 2005'!$L24</f>
        <v>2.106966821157949E-2</v>
      </c>
      <c r="E26" s="40">
        <f>'Africa 2010'!$E24/'Africa 2010'!$L24</f>
        <v>1.5115670708127658E-2</v>
      </c>
      <c r="F26" s="40">
        <f>'Africa 2015'!$E24/'Africa 2015'!$L24</f>
        <v>9.0887863057496458E-3</v>
      </c>
      <c r="G26" s="40">
        <f>'Africa 2018'!$E24/'Africa 2018'!$L24</f>
        <v>9.8907408755287054E-3</v>
      </c>
      <c r="H26" s="90">
        <f t="shared" si="0"/>
        <v>9.8907408755287054E-3</v>
      </c>
      <c r="I26" s="90">
        <f t="shared" si="0"/>
        <v>9.8907408755287054E-3</v>
      </c>
    </row>
    <row r="27" spans="1:9" x14ac:dyDescent="0.35">
      <c r="A27" s="30" t="s">
        <v>145</v>
      </c>
      <c r="B27" s="40">
        <f>'Africa 1995'!$H24/'Africa 1995'!$L24</f>
        <v>0</v>
      </c>
      <c r="C27" s="40">
        <f>'Africa 2000'!$H24/'Africa 2000'!$L24</f>
        <v>0</v>
      </c>
      <c r="D27" s="40">
        <f>'Africa 2005'!$H24/'Africa 2005'!$L24</f>
        <v>0</v>
      </c>
      <c r="E27" s="40">
        <f>'Africa 2010'!$H24/'Africa 2010'!$L24</f>
        <v>0</v>
      </c>
      <c r="F27" s="40">
        <f>'Africa 2015'!$H24/'Africa 2015'!$L24</f>
        <v>0</v>
      </c>
      <c r="G27" s="40">
        <f>'Africa 2018'!$H24/'Africa 2018'!$L24</f>
        <v>0</v>
      </c>
      <c r="H27" s="77">
        <f t="shared" si="0"/>
        <v>0</v>
      </c>
      <c r="I27" s="77">
        <f t="shared" si="0"/>
        <v>0</v>
      </c>
    </row>
    <row r="28" spans="1:9" x14ac:dyDescent="0.35">
      <c r="A28" s="30" t="s">
        <v>146</v>
      </c>
      <c r="B28" s="40">
        <f>'Africa 1995'!$I24/'Africa 1995'!$L24</f>
        <v>0</v>
      </c>
      <c r="C28" s="40">
        <f>'Africa 2000'!$I24/'Africa 2000'!$L24</f>
        <v>0</v>
      </c>
      <c r="D28" s="40">
        <f>'Africa 2005'!$I24/'Africa 2005'!$L24</f>
        <v>0</v>
      </c>
      <c r="E28" s="40">
        <f>'Africa 2010'!$I24/'Africa 2010'!$L24</f>
        <v>3.4121152840017288E-5</v>
      </c>
      <c r="F28" s="40">
        <f>'Africa 2015'!$I24/'Africa 2015'!$L24</f>
        <v>3.5025955130853377E-4</v>
      </c>
      <c r="G28" s="40">
        <f>'Africa 2018'!$I24/'Africa 2018'!$L24</f>
        <v>3.5584022773774577E-4</v>
      </c>
      <c r="H28" s="77">
        <f t="shared" si="0"/>
        <v>3.5584022773774577E-4</v>
      </c>
      <c r="I28" s="77">
        <f t="shared" si="0"/>
        <v>3.5584022773774577E-4</v>
      </c>
    </row>
    <row r="29" spans="1:9" x14ac:dyDescent="0.35">
      <c r="A29" s="30" t="s">
        <v>147</v>
      </c>
      <c r="B29" s="40">
        <f>'Africa 1995'!$J24/'Africa 1995'!$L24</f>
        <v>9.3640350877192986E-3</v>
      </c>
      <c r="C29" s="40">
        <f>'Africa 2000'!$J24/'Africa 2000'!$L24</f>
        <v>9.6339464578401018E-3</v>
      </c>
      <c r="D29" s="40">
        <f>'Africa 2005'!$J24/'Africa 2005'!$L24</f>
        <v>8.0776870448024726E-3</v>
      </c>
      <c r="E29" s="40">
        <f>'Africa 2010'!$J24/'Africa 2010'!$L24</f>
        <v>4.52673961010896E-3</v>
      </c>
      <c r="F29" s="40">
        <f>'Africa 2015'!$J24/'Africa 2015'!$L24</f>
        <v>4.2390386722468698E-3</v>
      </c>
      <c r="G29" s="40">
        <f>'Africa 2018'!$J24/'Africa 2018'!$L24</f>
        <v>3.7120605575369386E-3</v>
      </c>
      <c r="H29" s="77">
        <f>G29</f>
        <v>3.7120605575369386E-3</v>
      </c>
      <c r="I29" s="77">
        <f t="shared" si="0"/>
        <v>3.7120605575369386E-3</v>
      </c>
    </row>
    <row r="30" spans="1:9" x14ac:dyDescent="0.35">
      <c r="A30" s="30" t="s">
        <v>148</v>
      </c>
      <c r="B30" s="40">
        <f>'Africa 1995'!$K24/'Africa 1995'!$L24</f>
        <v>0</v>
      </c>
      <c r="C30" s="40">
        <f>'Africa 2000'!$K24/'Africa 2000'!$L24</f>
        <v>0</v>
      </c>
      <c r="D30" s="40">
        <f>'Africa 2005'!$K24/'Africa 2005'!$L24</f>
        <v>0</v>
      </c>
      <c r="E30" s="40">
        <f>'Africa 2010'!$K24/'Africa 2010'!$L24</f>
        <v>0</v>
      </c>
      <c r="F30" s="40">
        <f>'Africa 2015'!$K24/'Africa 2015'!$L24</f>
        <v>0</v>
      </c>
      <c r="G30" s="40">
        <f>'Africa 2018'!$K24/'Africa 2018'!$L24</f>
        <v>0</v>
      </c>
      <c r="H30" s="77">
        <f t="shared" si="0"/>
        <v>0</v>
      </c>
      <c r="I30" s="77">
        <f t="shared" si="0"/>
        <v>0</v>
      </c>
    </row>
    <row r="31" spans="1:9" x14ac:dyDescent="0.35">
      <c r="A31" s="31" t="s">
        <v>150</v>
      </c>
      <c r="B31" s="81"/>
      <c r="C31" s="81"/>
      <c r="D31" s="81"/>
      <c r="E31" s="81"/>
      <c r="F31" s="81"/>
      <c r="G31" s="81"/>
      <c r="H31" s="42"/>
      <c r="I31" s="42"/>
    </row>
    <row r="32" spans="1:9" x14ac:dyDescent="0.35">
      <c r="A32" s="30" t="s">
        <v>141</v>
      </c>
      <c r="B32" s="40">
        <f>'Africa 1995'!$B$25/'Africa 1995'!$L$25</f>
        <v>8.6492351312483055E-3</v>
      </c>
      <c r="C32" s="40">
        <f>'Africa 2000'!$B$25/'Africa 2000'!$L$25</f>
        <v>4.718528891168818E-3</v>
      </c>
      <c r="D32" s="40">
        <f>'Africa 2005'!$B$25/'Africa 2005'!$L$25</f>
        <v>1.2751233990386166E-2</v>
      </c>
      <c r="E32" s="40">
        <f>'Africa 2010'!$B$25/'Africa 2010'!$L$25</f>
        <v>7.2259988338020265E-3</v>
      </c>
      <c r="F32" s="40">
        <f>'Africa 2015'!$B$25/'Africa 2015'!$L$25</f>
        <v>1.1705983526111729E-2</v>
      </c>
      <c r="G32" s="40">
        <f>'Africa 2018'!$B$25/'Africa 2018'!$L$25</f>
        <v>1.6054803933683141E-2</v>
      </c>
      <c r="H32" s="77">
        <f t="shared" si="0"/>
        <v>1.6054803933683141E-2</v>
      </c>
      <c r="I32" s="77">
        <f t="shared" si="0"/>
        <v>1.6054803933683141E-2</v>
      </c>
    </row>
    <row r="33" spans="1:9" x14ac:dyDescent="0.35">
      <c r="A33" s="30" t="s">
        <v>143</v>
      </c>
      <c r="B33" s="40">
        <f>'Africa 1995'!$D$25/'Africa 1995'!$L$25</f>
        <v>5.273474484756363E-2</v>
      </c>
      <c r="C33" s="40">
        <f>'Africa 2000'!$D$25/'Africa 2000'!$L$25</f>
        <v>5.7888631626621563E-2</v>
      </c>
      <c r="D33" s="40">
        <f>'Africa 2005'!$D$25/'Africa 2005'!$L$25</f>
        <v>5.4279446398038521E-2</v>
      </c>
      <c r="E33" s="40">
        <f>'Africa 2010'!$D$25/'Africa 2010'!$L$25</f>
        <v>5.2903316283223728E-2</v>
      </c>
      <c r="F33" s="40">
        <f>'Africa 2015'!$D$25/'Africa 2015'!$L$25</f>
        <v>4.5981777016237436E-2</v>
      </c>
      <c r="G33" s="40">
        <f>'Africa 2018'!$D$25/'Africa 2018'!$L$25</f>
        <v>4.3580338817544251E-2</v>
      </c>
      <c r="H33" s="77">
        <f t="shared" si="0"/>
        <v>4.3580338817544251E-2</v>
      </c>
      <c r="I33" s="77">
        <f t="shared" si="0"/>
        <v>4.3580338817544251E-2</v>
      </c>
    </row>
    <row r="34" spans="1:9" x14ac:dyDescent="0.35">
      <c r="A34" s="30" t="s">
        <v>241</v>
      </c>
      <c r="B34" s="40">
        <f>'Africa 1995'!$E$25/'Africa 1995'!$L$25</f>
        <v>1.2385295276698755E-2</v>
      </c>
      <c r="C34" s="40">
        <f>'Africa 2000'!$E$25/'Africa 2000'!$L$25</f>
        <v>1.1507479861910242E-2</v>
      </c>
      <c r="D34" s="40">
        <f>'Africa 2005'!$E$25/'Africa 2005'!$L$25</f>
        <v>1.6662902861567248E-2</v>
      </c>
      <c r="E34" s="40">
        <f>'Africa 2010'!$E$25/'Africa 2010'!$L$25</f>
        <v>1.7323206601566249E-2</v>
      </c>
      <c r="F34" s="40">
        <f>'Africa 2015'!$E$25/'Africa 2015'!$L$25</f>
        <v>2.7460799207076711E-2</v>
      </c>
      <c r="G34" s="40">
        <f>'Africa 2018'!$E$25/'Africa 2018'!$L$25</f>
        <v>3.4822077088375258E-2</v>
      </c>
      <c r="H34" s="77">
        <f t="shared" si="0"/>
        <v>3.4822077088375258E-2</v>
      </c>
      <c r="I34" s="77">
        <f t="shared" si="0"/>
        <v>3.4822077088375258E-2</v>
      </c>
    </row>
    <row r="35" spans="1:9" x14ac:dyDescent="0.35">
      <c r="A35" s="30" t="s">
        <v>145</v>
      </c>
      <c r="B35" s="40">
        <f>'Africa 1995'!$H$25/'Africa 1995'!$L$25</f>
        <v>0</v>
      </c>
      <c r="C35" s="40">
        <f>'Africa 2000'!$H$25/'Africa 2000'!$L$25</f>
        <v>0</v>
      </c>
      <c r="D35" s="40">
        <f>'Africa 2005'!$H$25/'Africa 2005'!$L$25</f>
        <v>0</v>
      </c>
      <c r="E35" s="40">
        <f>'Africa 2010'!$H$25/'Africa 2010'!$L$25</f>
        <v>9.9643497708199559E-5</v>
      </c>
      <c r="F35" s="40">
        <f>'Africa 2015'!$H$25/'Africa 2015'!$L$25</f>
        <v>1.4575795757471716E-4</v>
      </c>
      <c r="G35" s="40">
        <f>'Africa 2018'!$H$25/'Africa 2018'!$L$25</f>
        <v>1.6877586264055864E-4</v>
      </c>
      <c r="H35" s="77">
        <f t="shared" si="0"/>
        <v>1.6877586264055864E-4</v>
      </c>
      <c r="I35" s="77">
        <f t="shared" si="0"/>
        <v>1.6877586264055864E-4</v>
      </c>
    </row>
    <row r="36" spans="1:9" x14ac:dyDescent="0.35">
      <c r="A36" s="30" t="s">
        <v>146</v>
      </c>
      <c r="B36" s="40">
        <f>'Africa 1995'!$I$25/'Africa 1995'!$L$25</f>
        <v>0.89256012241994342</v>
      </c>
      <c r="C36" s="40">
        <f>'Africa 2000'!$I$25/'Africa 2000'!$L$25</f>
        <v>0.88699562346047023</v>
      </c>
      <c r="D36" s="40">
        <f>'Africa 2005'!$I$25/'Africa 2005'!$L$25</f>
        <v>0.8686969706745814</v>
      </c>
      <c r="E36" s="40">
        <f>'Africa 2010'!$I$25/'Africa 2010'!$L$25</f>
        <v>0.86906475351151069</v>
      </c>
      <c r="F36" s="40">
        <f>'Africa 2015'!$I$25/'Africa 2015'!$L$25</f>
        <v>0.85477648826972352</v>
      </c>
      <c r="G36" s="40">
        <f>'Africa 2018'!$I$25/'Africa 2018'!$L$25</f>
        <v>0.84267377132678922</v>
      </c>
      <c r="H36" s="77">
        <f t="shared" si="0"/>
        <v>0.84267377132678922</v>
      </c>
      <c r="I36" s="77">
        <f t="shared" si="0"/>
        <v>0.84267377132678922</v>
      </c>
    </row>
    <row r="37" spans="1:9" x14ac:dyDescent="0.35">
      <c r="A37" s="30" t="s">
        <v>147</v>
      </c>
      <c r="B37" s="40">
        <f>'Africa 1995'!$J$25/'Africa 1995'!$L$25</f>
        <v>3.3680838105766324E-2</v>
      </c>
      <c r="C37" s="40">
        <f>'Africa 2000'!$J$25/'Africa 2000'!$L$25</f>
        <v>3.8871250248404432E-2</v>
      </c>
      <c r="D37" s="40">
        <f>'Africa 2005'!$J$25/'Africa 2005'!$L$25</f>
        <v>4.7581217537181017E-2</v>
      </c>
      <c r="E37" s="40">
        <f>'Africa 2010'!$J$25/'Africa 2010'!$L$25</f>
        <v>5.3408914771594963E-2</v>
      </c>
      <c r="F37" s="40">
        <f>'Africa 2015'!$J$25/'Africa 2015'!$L$25</f>
        <v>5.9932433088999808E-2</v>
      </c>
      <c r="G37" s="40">
        <f>'Africa 2018'!$J$25/'Africa 2018'!$L$25</f>
        <v>6.2703246825657546E-2</v>
      </c>
      <c r="H37" s="89">
        <f>1-H38-H36-H35-H34-H33-H32</f>
        <v>6.2700232970967579E-2</v>
      </c>
      <c r="I37" s="89">
        <f>1-I38-I36-I35-I34-I33-I32</f>
        <v>6.2700232970967579E-2</v>
      </c>
    </row>
    <row r="38" spans="1:9" x14ac:dyDescent="0.35">
      <c r="A38" s="30" t="s">
        <v>148</v>
      </c>
      <c r="B38" s="40">
        <f>'Africa 1995'!$K$25/'Africa 1995'!$L$25</f>
        <v>0</v>
      </c>
      <c r="C38" s="40">
        <f>'Africa 2000'!$K$25/'Africa 2000'!$L$25</f>
        <v>0</v>
      </c>
      <c r="D38" s="40">
        <f>'Africa 2005'!$K$25/'Africa 2005'!$L$25</f>
        <v>0</v>
      </c>
      <c r="E38" s="40">
        <f>'Africa 2010'!$K$25/'Africa 2010'!$L$25</f>
        <v>0</v>
      </c>
      <c r="F38" s="40">
        <f>'Africa 2015'!$K$25/'Africa 2015'!$L$25</f>
        <v>0</v>
      </c>
      <c r="G38" s="40">
        <f>'Africa 2018'!$K$25/'Africa 2018'!$L$25</f>
        <v>0</v>
      </c>
      <c r="H38" s="88">
        <f t="shared" si="0"/>
        <v>0</v>
      </c>
      <c r="I38" s="88">
        <f t="shared" si="0"/>
        <v>0</v>
      </c>
    </row>
    <row r="39" spans="1:9" x14ac:dyDescent="0.35">
      <c r="A39" s="31" t="s">
        <v>151</v>
      </c>
      <c r="B39" s="81"/>
      <c r="C39" s="81"/>
      <c r="D39" s="81"/>
      <c r="E39" s="81"/>
      <c r="F39" s="81"/>
      <c r="G39" s="81"/>
      <c r="H39" s="42"/>
      <c r="I39" s="42"/>
    </row>
    <row r="40" spans="1:9" x14ac:dyDescent="0.35">
      <c r="A40" s="30" t="s">
        <v>141</v>
      </c>
      <c r="B40" s="40">
        <f>'Africa 1995'!$B$26/'Africa 1995'!$L$26</f>
        <v>0.13520111601953033</v>
      </c>
      <c r="C40" s="40">
        <f>'Africa 2000'!$B$26/'Africa 2000'!$L$26</f>
        <v>6.4607237422771399E-2</v>
      </c>
      <c r="D40" s="40">
        <f>'Africa 2005'!$B$26/'Africa 2005'!$L$26</f>
        <v>0.1109239167059775</v>
      </c>
      <c r="E40" s="40">
        <f>'Africa 2010'!$B$26/'Africa 2010'!$L$26</f>
        <v>6.2180200222469409E-2</v>
      </c>
      <c r="F40" s="40">
        <f>'Africa 2015'!$B$26/'Africa 2015'!$L$26</f>
        <v>7.7829069416281982E-2</v>
      </c>
      <c r="G40" s="40">
        <f>'Africa 2018'!$B$26/'Africa 2018'!$L$26</f>
        <v>0.10089453679886359</v>
      </c>
      <c r="H40" s="77">
        <f t="shared" si="0"/>
        <v>0.10089453679886359</v>
      </c>
      <c r="I40" s="77">
        <f t="shared" si="0"/>
        <v>0.10089453679886359</v>
      </c>
    </row>
    <row r="41" spans="1:9" x14ac:dyDescent="0.35">
      <c r="A41" s="30" t="s">
        <v>143</v>
      </c>
      <c r="B41" s="40">
        <f>'Africa 1995'!$D$26/'Africa 1995'!$L$26</f>
        <v>6.2659846547314574E-2</v>
      </c>
      <c r="C41" s="40">
        <f>'Africa 2000'!$D$26/'Africa 2000'!$L$26</f>
        <v>9.073256840247132E-2</v>
      </c>
      <c r="D41" s="40">
        <f>'Africa 2005'!$D$26/'Africa 2005'!$L$26</f>
        <v>6.6850865961318146E-2</v>
      </c>
      <c r="E41" s="40">
        <f>'Africa 2010'!$D$26/'Africa 2010'!$L$26</f>
        <v>8.8876529477196889E-2</v>
      </c>
      <c r="F41" s="40">
        <f>'Africa 2015'!$D$26/'Africa 2015'!$L$26</f>
        <v>8.1323611890072908E-2</v>
      </c>
      <c r="G41" s="40">
        <f>'Africa 2018'!$D$26/'Africa 2018'!$L$26</f>
        <v>5.885514646600376E-2</v>
      </c>
      <c r="H41" s="77">
        <f t="shared" si="0"/>
        <v>5.885514646600376E-2</v>
      </c>
      <c r="I41" s="77">
        <f t="shared" si="0"/>
        <v>5.885514646600376E-2</v>
      </c>
    </row>
    <row r="42" spans="1:9" x14ac:dyDescent="0.35">
      <c r="A42" s="30" t="s">
        <v>241</v>
      </c>
      <c r="B42" s="40">
        <f>'Africa 1995'!$E$26/'Africa 1995'!$L$26</f>
        <v>3.8363171355498722E-3</v>
      </c>
      <c r="C42" s="40">
        <f>'Africa 2000'!$E$26/'Africa 2000'!$L$26</f>
        <v>3.6187113857016769E-3</v>
      </c>
      <c r="D42" s="40">
        <f>'Africa 2005'!$E$26/'Africa 2005'!$L$26</f>
        <v>3.0999393490127366E-3</v>
      </c>
      <c r="E42" s="40">
        <f>'Africa 2010'!$E$26/'Africa 2010'!$L$26</f>
        <v>8.17575083426029E-3</v>
      </c>
      <c r="F42" s="40">
        <f>'Africa 2015'!$E$26/'Africa 2015'!$L$26</f>
        <v>1.8033564864748265E-2</v>
      </c>
      <c r="G42" s="40">
        <f>'Africa 2018'!$E$26/'Africa 2018'!$L$26</f>
        <v>2.00406956655277E-2</v>
      </c>
      <c r="H42" s="77">
        <f t="shared" si="0"/>
        <v>2.00406956655277E-2</v>
      </c>
      <c r="I42" s="77">
        <f t="shared" si="0"/>
        <v>2.00406956655277E-2</v>
      </c>
    </row>
    <row r="43" spans="1:9" x14ac:dyDescent="0.35">
      <c r="A43" s="30" t="s">
        <v>145</v>
      </c>
      <c r="B43" s="40">
        <f>'Africa 1995'!$H$26/'Africa 1995'!$L$26</f>
        <v>0</v>
      </c>
      <c r="C43" s="40">
        <f>'Africa 2000'!$H$26/'Africa 2000'!$L$26</f>
        <v>0</v>
      </c>
      <c r="D43" s="40">
        <f>'Africa 2005'!$H$26/'Africa 2005'!$L$26</f>
        <v>0</v>
      </c>
      <c r="E43" s="40">
        <f>'Africa 2010'!$H$26/'Africa 2010'!$L$26</f>
        <v>0</v>
      </c>
      <c r="F43" s="40">
        <f>'Africa 2015'!$H$26/'Africa 2015'!$L$26</f>
        <v>8.628499935286251E-5</v>
      </c>
      <c r="G43" s="40">
        <f>'Africa 2018'!$H$26/'Africa 2018'!$L$26</f>
        <v>7.6784274580565901E-5</v>
      </c>
      <c r="H43" s="77">
        <f t="shared" si="0"/>
        <v>7.6784274580565901E-5</v>
      </c>
      <c r="I43" s="77">
        <f t="shared" si="0"/>
        <v>7.6784274580565901E-5</v>
      </c>
    </row>
    <row r="44" spans="1:9" x14ac:dyDescent="0.35">
      <c r="A44" s="30" t="s">
        <v>146</v>
      </c>
      <c r="B44" s="40">
        <f>'Africa 1995'!$I$26/'Africa 1995'!$L$26</f>
        <v>0.5091839107184376</v>
      </c>
      <c r="C44" s="40">
        <f>'Africa 2000'!$I$26/'Africa 2000'!$L$26</f>
        <v>0.48517210944395411</v>
      </c>
      <c r="D44" s="40">
        <f>'Africa 2005'!$I$26/'Africa 2005'!$L$26</f>
        <v>0.38681851876811107</v>
      </c>
      <c r="E44" s="40">
        <f>'Africa 2010'!$I$26/'Africa 2010'!$L$26</f>
        <v>0.3725806451612903</v>
      </c>
      <c r="F44" s="40">
        <f>'Africa 2015'!$I$26/'Africa 2015'!$L$26</f>
        <v>0.41610940937917945</v>
      </c>
      <c r="G44" s="40">
        <f>'Africa 2018'!$I$26/'Africa 2018'!$L$26</f>
        <v>0.40630398894306446</v>
      </c>
      <c r="H44" s="77">
        <f t="shared" si="0"/>
        <v>0.40630398894306446</v>
      </c>
      <c r="I44" s="77">
        <f t="shared" si="0"/>
        <v>0.40630398894306446</v>
      </c>
    </row>
    <row r="45" spans="1:9" x14ac:dyDescent="0.35">
      <c r="A45" s="30" t="s">
        <v>147</v>
      </c>
      <c r="B45" s="40">
        <f>'Africa 1995'!$J$26/'Africa 1995'!$L$26</f>
        <v>0.28923506161357826</v>
      </c>
      <c r="C45" s="40">
        <f>'Africa 2000'!$J$26/'Africa 2000'!$L$26</f>
        <v>0.35595763459841129</v>
      </c>
      <c r="D45" s="40">
        <f>'Africa 2005'!$J$26/'Africa 2005'!$L$26</f>
        <v>0.43203719927218814</v>
      </c>
      <c r="E45" s="40">
        <f>'Africa 2010'!$J$26/'Africa 2010'!$L$26</f>
        <v>0.46802002224694106</v>
      </c>
      <c r="F45" s="40">
        <f>'Africa 2015'!$J$26/'Africa 2015'!$L$26</f>
        <v>0.40653177445101168</v>
      </c>
      <c r="G45" s="40">
        <f>'Africa 2018'!$J$26/'Africa 2018'!$L$26</f>
        <v>0.41375206357737937</v>
      </c>
      <c r="H45" s="89">
        <f>1-H46-H44-H43-H42-H41-H40</f>
        <v>0.41382884785195995</v>
      </c>
      <c r="I45" s="89">
        <f>1-I46-I44-I43-I42-I41-I40</f>
        <v>0.41382884785195995</v>
      </c>
    </row>
    <row r="46" spans="1:9" x14ac:dyDescent="0.35">
      <c r="A46" s="30" t="s">
        <v>148</v>
      </c>
      <c r="B46" s="40">
        <f>'Africa 1995'!$K$26/'Africa 1995'!$L$26</f>
        <v>0</v>
      </c>
      <c r="C46" s="40">
        <f>'Africa 2000'!$K$26/'Africa 2000'!$L$26</f>
        <v>0</v>
      </c>
      <c r="D46" s="40">
        <f>'Africa 2005'!$K$26/'Africa 2005'!$L$26</f>
        <v>0</v>
      </c>
      <c r="E46" s="40">
        <f>'Africa 2010'!$K$26/'Africa 2010'!$L$26</f>
        <v>0</v>
      </c>
      <c r="F46" s="40">
        <f>'Africa 2015'!$K$26/'Africa 2015'!$L$26</f>
        <v>0</v>
      </c>
      <c r="G46" s="40">
        <f>'Africa 2018'!$K$26/'Africa 2018'!$L$26</f>
        <v>0</v>
      </c>
      <c r="H46" s="77">
        <f t="shared" si="0"/>
        <v>0</v>
      </c>
      <c r="I46" s="77">
        <f t="shared" si="0"/>
        <v>0</v>
      </c>
    </row>
    <row r="47" spans="1:9" x14ac:dyDescent="0.35">
      <c r="A47" s="31" t="s">
        <v>152</v>
      </c>
      <c r="B47" s="81"/>
      <c r="C47" s="81"/>
      <c r="D47" s="81"/>
      <c r="E47" s="81"/>
      <c r="F47" s="81"/>
      <c r="G47" s="81"/>
      <c r="H47" s="42"/>
      <c r="I47" s="42"/>
    </row>
    <row r="48" spans="1:9" x14ac:dyDescent="0.35">
      <c r="A48" s="30" t="s">
        <v>141</v>
      </c>
      <c r="B48" s="40">
        <f>'Africa 1995'!$B$27/'Africa 1995'!$L$27</f>
        <v>8.6501163692785099E-2</v>
      </c>
      <c r="C48" s="40">
        <f>'Africa 2000'!$B$27/'Africa 2000'!$L$27</f>
        <v>7.614300446888965E-2</v>
      </c>
      <c r="D48" s="40">
        <f>'Africa 2005'!$B$27/'Africa 2005'!$L$27</f>
        <v>1.7879010531471957E-2</v>
      </c>
      <c r="E48" s="40">
        <f>'Africa 2010'!$B$27/'Africa 2010'!$L$27</f>
        <v>3.1722993987144933E-2</v>
      </c>
      <c r="F48" s="40">
        <f>'Africa 2015'!$B$27/'Africa 2015'!$L$27</f>
        <v>3.8316902124199616E-2</v>
      </c>
      <c r="G48" s="40">
        <f>'Africa 2018'!$B$27/'Africa 2018'!$L$27</f>
        <v>5.030181086519115E-2</v>
      </c>
      <c r="H48" s="77">
        <f t="shared" si="0"/>
        <v>5.030181086519115E-2</v>
      </c>
      <c r="I48" s="77">
        <f t="shared" si="0"/>
        <v>5.030181086519115E-2</v>
      </c>
    </row>
    <row r="49" spans="1:9" x14ac:dyDescent="0.35">
      <c r="A49" s="30" t="s">
        <v>143</v>
      </c>
      <c r="B49" s="40">
        <f>'Africa 1995'!$D$27/'Africa 1995'!$L$27</f>
        <v>0.49418153607447635</v>
      </c>
      <c r="C49" s="40">
        <f>'Africa 2000'!$D$27/'Africa 2000'!$L$27</f>
        <v>0.45359229975936749</v>
      </c>
      <c r="D49" s="40">
        <f>'Africa 2005'!$D$27/'Africa 2005'!$L$27</f>
        <v>0.54298310066127842</v>
      </c>
      <c r="E49" s="40">
        <f>'Africa 2010'!$D$27/'Africa 2010'!$L$27</f>
        <v>0.5334853825419863</v>
      </c>
      <c r="F49" s="40">
        <f>'Africa 2015'!$D$27/'Africa 2015'!$L$27</f>
        <v>0.45238337229393233</v>
      </c>
      <c r="G49" s="40">
        <f>'Africa 2018'!$D$27/'Africa 2018'!$L$27</f>
        <v>0.43738622209447159</v>
      </c>
      <c r="H49" s="77">
        <f t="shared" si="0"/>
        <v>0.43738622209447159</v>
      </c>
      <c r="I49" s="77">
        <f t="shared" si="0"/>
        <v>0.43738622209447159</v>
      </c>
    </row>
    <row r="50" spans="1:9" x14ac:dyDescent="0.35">
      <c r="A50" s="30" t="s">
        <v>241</v>
      </c>
      <c r="B50" s="40">
        <f>'Africa 1995'!$E$27/'Africa 1995'!$L$27</f>
        <v>0</v>
      </c>
      <c r="C50" s="40">
        <f>'Africa 2000'!$E$27/'Africa 2000'!$L$27</f>
        <v>0</v>
      </c>
      <c r="D50" s="40">
        <f>'Africa 2005'!$E$27/'Africa 2005'!$L$27</f>
        <v>0</v>
      </c>
      <c r="E50" s="40">
        <f>'Africa 2010'!$E$27/'Africa 2010'!$L$27</f>
        <v>3.52477710968277E-3</v>
      </c>
      <c r="F50" s="40">
        <f>'Africa 2015'!$E$27/'Africa 2015'!$L$27</f>
        <v>6.0981807094216888E-3</v>
      </c>
      <c r="G50" s="40">
        <f>'Africa 2018'!$E$27/'Africa 2018'!$L$27</f>
        <v>5.5571524384401645E-3</v>
      </c>
      <c r="H50" s="77">
        <f t="shared" si="0"/>
        <v>5.5571524384401645E-3</v>
      </c>
      <c r="I50" s="77">
        <f t="shared" si="0"/>
        <v>5.5571524384401645E-3</v>
      </c>
    </row>
    <row r="51" spans="1:9" x14ac:dyDescent="0.35">
      <c r="A51" s="30" t="s">
        <v>145</v>
      </c>
      <c r="B51" s="40">
        <f>'Africa 1995'!$H$27/'Africa 1995'!$L$27</f>
        <v>0</v>
      </c>
      <c r="C51" s="40">
        <f>'Africa 2000'!$H$27/'Africa 2000'!$L$27</f>
        <v>0</v>
      </c>
      <c r="D51" s="40">
        <f>'Africa 2005'!$H$27/'Africa 2005'!$L$27</f>
        <v>0</v>
      </c>
      <c r="E51" s="40">
        <f>'Africa 2010'!$H$27/'Africa 2010'!$L$27</f>
        <v>0</v>
      </c>
      <c r="F51" s="40">
        <f>'Africa 2015'!$H$27/'Africa 2015'!$L$27</f>
        <v>0</v>
      </c>
      <c r="G51" s="40">
        <f>'Africa 2018'!$H$27/'Africa 2018'!$L$27</f>
        <v>0</v>
      </c>
      <c r="H51" s="77">
        <f t="shared" si="0"/>
        <v>0</v>
      </c>
      <c r="I51" s="77">
        <f t="shared" si="0"/>
        <v>0</v>
      </c>
    </row>
    <row r="52" spans="1:9" x14ac:dyDescent="0.35">
      <c r="A52" s="30" t="s">
        <v>146</v>
      </c>
      <c r="B52" s="40">
        <f>'Africa 1995'!$I$27/'Africa 1995'!$L$27</f>
        <v>0.24224204809930178</v>
      </c>
      <c r="C52" s="40">
        <f>'Africa 2000'!$I$27/'Africa 2000'!$L$27</f>
        <v>0.31110347198349947</v>
      </c>
      <c r="D52" s="40">
        <f>'Africa 2005'!$I$27/'Africa 2005'!$L$27</f>
        <v>0.26230712711241733</v>
      </c>
      <c r="E52" s="40">
        <f>'Africa 2010'!$I$27/'Africa 2010'!$L$27</f>
        <v>0.25969313705162761</v>
      </c>
      <c r="F52" s="40">
        <f>'Africa 2015'!$I$27/'Africa 2015'!$L$27</f>
        <v>0.29657485516820814</v>
      </c>
      <c r="G52" s="40">
        <f>'Africa 2018'!$I$27/'Africa 2018'!$L$27</f>
        <v>0.30928427709111816</v>
      </c>
      <c r="H52" s="77">
        <f t="shared" si="0"/>
        <v>0.30928427709111816</v>
      </c>
      <c r="I52" s="77">
        <f t="shared" si="0"/>
        <v>0.30928427709111816</v>
      </c>
    </row>
    <row r="53" spans="1:9" x14ac:dyDescent="0.35">
      <c r="A53" s="30" t="s">
        <v>147</v>
      </c>
      <c r="B53" s="40">
        <f>'Africa 1995'!$J$27/'Africa 1995'!$L$27</f>
        <v>0.17688130333591931</v>
      </c>
      <c r="C53" s="40">
        <f>'Africa 2000'!$J$27/'Africa 2000'!$L$27</f>
        <v>0.15967686490202818</v>
      </c>
      <c r="D53" s="40">
        <f>'Africa 2005'!$J$27/'Africa 2005'!$L$27</f>
        <v>0.17695322067107519</v>
      </c>
      <c r="E53" s="40">
        <f>'Africa 2010'!$J$27/'Africa 2010'!$L$27</f>
        <v>0.17198838896952104</v>
      </c>
      <c r="F53" s="40">
        <f>'Africa 2015'!$J$27/'Africa 2015'!$L$27</f>
        <v>0.20642341701392419</v>
      </c>
      <c r="G53" s="40">
        <f>'Africa 2018'!$J$27/'Africa 2018'!$L$27</f>
        <v>0.19718309859154928</v>
      </c>
      <c r="H53" s="89">
        <f>1-H54-H52-H51-H50-H49-H48</f>
        <v>0.19747053751077898</v>
      </c>
      <c r="I53" s="89">
        <f>1-I54-I52-I51-I50-I49-I48</f>
        <v>0.19747053751077898</v>
      </c>
    </row>
    <row r="54" spans="1:9" x14ac:dyDescent="0.35">
      <c r="A54" s="30" t="s">
        <v>148</v>
      </c>
      <c r="B54" s="40">
        <f>'Africa 1995'!$K$27/'Africa 1995'!$L$27</f>
        <v>0</v>
      </c>
      <c r="C54" s="40">
        <f>'Africa 2000'!$K$27/'Africa 2000'!$L$27</f>
        <v>0</v>
      </c>
      <c r="D54" s="40">
        <f>'Africa 2005'!$K$27/'Africa 2005'!$L$27</f>
        <v>0</v>
      </c>
      <c r="E54" s="40">
        <f>'Africa 2010'!$K$27/'Africa 2010'!$L$27</f>
        <v>0</v>
      </c>
      <c r="F54" s="40">
        <f>'Africa 2015'!$K$27/'Africa 2015'!$L$27</f>
        <v>0</v>
      </c>
      <c r="G54" s="40">
        <f>'Africa 2018'!$K$27/'Africa 2018'!$L$27</f>
        <v>0</v>
      </c>
      <c r="H54" s="77">
        <f t="shared" si="0"/>
        <v>0</v>
      </c>
      <c r="I54" s="77">
        <f t="shared" si="0"/>
        <v>0</v>
      </c>
    </row>
    <row r="55" spans="1:9" x14ac:dyDescent="0.35">
      <c r="A55" s="31" t="s">
        <v>153</v>
      </c>
      <c r="B55" s="81"/>
      <c r="C55" s="81"/>
      <c r="D55" s="81"/>
      <c r="E55" s="81"/>
      <c r="F55" s="81"/>
      <c r="G55" s="81"/>
      <c r="H55" s="42"/>
      <c r="I55" s="42"/>
    </row>
    <row r="56" spans="1:9" x14ac:dyDescent="0.35">
      <c r="A56" s="30" t="s">
        <v>141</v>
      </c>
      <c r="B56" s="40">
        <f>'Africa 1995'!$B$28/IF('Africa 1995'!$L$28=0,1,'Africa 1995'!$L$28)</f>
        <v>0</v>
      </c>
      <c r="C56" s="40">
        <f>'Africa 2000'!$B$28/IF('Africa 2000'!$L$28=0,1,'Africa 2000'!$L$28)</f>
        <v>0</v>
      </c>
      <c r="D56" s="40">
        <f>'Africa 2005'!$B$28/IF('Africa 2005'!$L$28=0,1,'Africa 2005'!$L$28)</f>
        <v>0</v>
      </c>
      <c r="E56" s="40">
        <f>'Africa 2010'!$B$28/IF('Africa 2010'!$L$28=0,1,'Africa 2010'!$L$28)</f>
        <v>0</v>
      </c>
      <c r="F56" s="40">
        <f>'Africa 2015'!$B$28/IF('Africa 2015'!$L$28=0,1,'Africa 2015'!$L$28)</f>
        <v>0</v>
      </c>
      <c r="G56" s="40">
        <f>'Africa 2018'!$B$28/IF('Africa 2018'!$L$28=0,1,'Africa 2018'!$L$28)</f>
        <v>0</v>
      </c>
      <c r="H56" s="77">
        <f t="shared" si="0"/>
        <v>0</v>
      </c>
      <c r="I56" s="77">
        <f t="shared" si="0"/>
        <v>0</v>
      </c>
    </row>
    <row r="57" spans="1:9" x14ac:dyDescent="0.35">
      <c r="A57" s="30" t="s">
        <v>143</v>
      </c>
      <c r="B57" s="40">
        <f>'Africa 1995'!$D$28/IF('Africa 1995'!$L$28=0,1,'Africa 1995'!$L$28)</f>
        <v>0</v>
      </c>
      <c r="C57" s="40">
        <f>'Africa 2000'!$D$28/IF('Africa 2000'!$L$28=0,1,'Africa 2000'!$L$28)</f>
        <v>1</v>
      </c>
      <c r="D57" s="40">
        <f>'Africa 2005'!$D$28/IF('Africa 2005'!$L$28=0,1,'Africa 2005'!$L$28)</f>
        <v>1</v>
      </c>
      <c r="E57" s="40">
        <f>'Africa 2010'!$D$28/IF('Africa 2010'!$L$28=0,1,'Africa 2010'!$L$28)</f>
        <v>1</v>
      </c>
      <c r="F57" s="40">
        <f>'Africa 2015'!$D$28/IF('Africa 2015'!$L$28=0,1,'Africa 2015'!$L$28)</f>
        <v>1</v>
      </c>
      <c r="G57" s="40">
        <f>'Africa 2018'!$D$28/IF('Africa 2018'!$L$28=0,1,'Africa 2018'!$L$28)</f>
        <v>1</v>
      </c>
      <c r="H57" s="77">
        <f t="shared" si="0"/>
        <v>1</v>
      </c>
      <c r="I57" s="77">
        <f t="shared" si="0"/>
        <v>1</v>
      </c>
    </row>
    <row r="58" spans="1:9" x14ac:dyDescent="0.35">
      <c r="A58" s="30" t="s">
        <v>241</v>
      </c>
      <c r="B58" s="40">
        <f>'Africa 1995'!$E$28/IF('Africa 1995'!$L$28=0,1,'Africa 1995'!$L$28)</f>
        <v>0</v>
      </c>
      <c r="C58" s="40">
        <f>'Africa 2000'!$E$28/IF('Africa 2000'!$L$28=0,1,'Africa 2000'!$L$28)</f>
        <v>0</v>
      </c>
      <c r="D58" s="40">
        <f>'Africa 2005'!$E$28/IF('Africa 2005'!$L$28=0,1,'Africa 2005'!$L$28)</f>
        <v>0</v>
      </c>
      <c r="E58" s="40">
        <f>'Africa 2010'!$E$28/IF('Africa 2010'!$L$28=0,1,'Africa 2010'!$L$28)</f>
        <v>0</v>
      </c>
      <c r="F58" s="40">
        <f>'Africa 2015'!$E$28/IF('Africa 2015'!$L$28=0,1,'Africa 2015'!$L$28)</f>
        <v>0</v>
      </c>
      <c r="G58" s="40">
        <f>'Africa 2018'!$E$28/IF('Africa 2018'!$L$28=0,1,'Africa 2018'!$L$28)</f>
        <v>0</v>
      </c>
      <c r="H58" s="77">
        <f t="shared" si="0"/>
        <v>0</v>
      </c>
      <c r="I58" s="77">
        <f t="shared" si="0"/>
        <v>0</v>
      </c>
    </row>
    <row r="59" spans="1:9" x14ac:dyDescent="0.35">
      <c r="A59" s="30" t="s">
        <v>145</v>
      </c>
      <c r="B59" s="40">
        <f>'Africa 1995'!$H$28/IF('Africa 1995'!$L$28=0,1,'Africa 1995'!$L$28)</f>
        <v>0</v>
      </c>
      <c r="C59" s="40">
        <f>'Africa 2000'!$H$28/IF('Africa 2000'!$L$28=0,1,'Africa 2000'!$L$28)</f>
        <v>0</v>
      </c>
      <c r="D59" s="40">
        <f>'Africa 2005'!$H$28/IF('Africa 2005'!$L$28=0,1,'Africa 2005'!$L$28)</f>
        <v>0</v>
      </c>
      <c r="E59" s="40">
        <f>'Africa 2010'!$H$28/IF('Africa 2010'!$L$28=0,1,'Africa 2010'!$L$28)</f>
        <v>0</v>
      </c>
      <c r="F59" s="40">
        <f>'Africa 2015'!$H$28/IF('Africa 2015'!$L$28=0,1,'Africa 2015'!$L$28)</f>
        <v>0</v>
      </c>
      <c r="G59" s="40">
        <f>'Africa 2018'!$H$28/IF('Africa 2018'!$L$28=0,1,'Africa 2018'!$L$28)</f>
        <v>0</v>
      </c>
      <c r="H59" s="77">
        <f t="shared" si="0"/>
        <v>0</v>
      </c>
      <c r="I59" s="77">
        <f t="shared" si="0"/>
        <v>0</v>
      </c>
    </row>
    <row r="60" spans="1:9" x14ac:dyDescent="0.35">
      <c r="A60" s="30" t="s">
        <v>146</v>
      </c>
      <c r="B60" s="40">
        <f>'Africa 1995'!$I$28/IF('Africa 1995'!$L$28=0,1,'Africa 1995'!$L$28)</f>
        <v>0</v>
      </c>
      <c r="C60" s="40">
        <f>'Africa 2000'!$I$28/IF('Africa 2000'!$L$28=0,1,'Africa 2000'!$L$28)</f>
        <v>0</v>
      </c>
      <c r="D60" s="40">
        <f>'Africa 2005'!$I$28/IF('Africa 2005'!$L$28=0,1,'Africa 2005'!$L$28)</f>
        <v>0</v>
      </c>
      <c r="E60" s="40">
        <f>'Africa 2010'!$I$28/IF('Africa 2010'!$L$28=0,1,'Africa 2010'!$L$28)</f>
        <v>0</v>
      </c>
      <c r="F60" s="40">
        <f>'Africa 2015'!$I$28/IF('Africa 2015'!$L$28=0,1,'Africa 2015'!$L$28)</f>
        <v>0</v>
      </c>
      <c r="G60" s="40">
        <f>'Africa 2018'!$I$28/IF('Africa 2018'!$L$28=0,1,'Africa 2018'!$L$28)</f>
        <v>0</v>
      </c>
      <c r="H60" s="77">
        <f t="shared" si="0"/>
        <v>0</v>
      </c>
      <c r="I60" s="77">
        <f t="shared" si="0"/>
        <v>0</v>
      </c>
    </row>
    <row r="61" spans="1:9" x14ac:dyDescent="0.35">
      <c r="A61" s="30" t="s">
        <v>147</v>
      </c>
      <c r="B61" s="40">
        <f>'Africa 1995'!$J$28/IF('Africa 1995'!$L$28=0,1,'Africa 1995'!$L$28)</f>
        <v>0</v>
      </c>
      <c r="C61" s="40">
        <f>'Africa 2000'!$J$28/IF('Africa 2000'!$L$28=0,1,'Africa 2000'!$L$28)</f>
        <v>0</v>
      </c>
      <c r="D61" s="40">
        <f>'Africa 2005'!$J$28/IF('Africa 2005'!$L$28=0,1,'Africa 2005'!$L$28)</f>
        <v>0</v>
      </c>
      <c r="E61" s="40">
        <f>'Africa 2010'!$J$28/IF('Africa 2010'!$L$28=0,1,'Africa 2010'!$L$28)</f>
        <v>0</v>
      </c>
      <c r="F61" s="40">
        <f>'Africa 2015'!$J$28/IF('Africa 2015'!$L$28=0,1,'Africa 2015'!$L$28)</f>
        <v>0</v>
      </c>
      <c r="G61" s="40">
        <f>'Africa 2018'!$J$28/IF('Africa 2018'!$L$28=0,1,'Africa 2018'!$L$28)</f>
        <v>0</v>
      </c>
      <c r="H61" s="89">
        <f>1-H62-H60-H59-H58-H57-H56</f>
        <v>0</v>
      </c>
      <c r="I61" s="89">
        <f>1-I62-I60-I59-I58-I57-I56</f>
        <v>0</v>
      </c>
    </row>
    <row r="62" spans="1:9" x14ac:dyDescent="0.35">
      <c r="A62" s="30" t="s">
        <v>148</v>
      </c>
      <c r="B62" s="40">
        <f>'Africa 1995'!$K$28/IF('Africa 1995'!$L$28=0,1,'Africa 1995'!$L$28)</f>
        <v>0</v>
      </c>
      <c r="C62" s="40">
        <f>'Africa 2000'!$K$28/IF('Africa 2000'!$L$28=0,1,'Africa 2000'!$L$28)</f>
        <v>0</v>
      </c>
      <c r="D62" s="40">
        <f>'Africa 2005'!$K$28/IF('Africa 2005'!$L$28=0,1,'Africa 2005'!$L$28)</f>
        <v>0</v>
      </c>
      <c r="E62" s="40">
        <f>'Africa 2010'!$K$28/IF('Africa 2010'!$L$28=0,1,'Africa 2010'!$L$28)</f>
        <v>0</v>
      </c>
      <c r="F62" s="40">
        <f>'Africa 2015'!$K$28/IF('Africa 2015'!$L$28=0,1,'Africa 2015'!$L$28)</f>
        <v>0</v>
      </c>
      <c r="G62" s="40">
        <f>'Africa 2018'!$K$28/IF('Africa 2018'!$L$28=0,1,'Africa 2018'!$L$28)</f>
        <v>0</v>
      </c>
      <c r="H62" s="77">
        <f t="shared" si="0"/>
        <v>0</v>
      </c>
      <c r="I62" s="77">
        <f t="shared" si="0"/>
        <v>0</v>
      </c>
    </row>
    <row r="63" spans="1:9" x14ac:dyDescent="0.35">
      <c r="A63" s="31" t="s">
        <v>154</v>
      </c>
      <c r="B63" s="81"/>
      <c r="C63" s="81"/>
      <c r="D63" s="81"/>
      <c r="E63" s="81"/>
      <c r="F63" s="81"/>
      <c r="G63" s="81"/>
      <c r="H63" s="42"/>
      <c r="I63" s="42"/>
    </row>
    <row r="64" spans="1:9" x14ac:dyDescent="0.35">
      <c r="A64" s="30" t="s">
        <v>141</v>
      </c>
      <c r="B64" s="40">
        <f>'Africa 1995'!$B$29/'Africa 1995'!$L$29</f>
        <v>7.4492099322799096E-3</v>
      </c>
      <c r="C64" s="40">
        <f>'Africa 2000'!$B$29/'Africa 2000'!$L$29</f>
        <v>6.2255014987318419E-3</v>
      </c>
      <c r="D64" s="40">
        <f>'Africa 2005'!$B$29/'Africa 2005'!$L$29</f>
        <v>9.714127116291979E-3</v>
      </c>
      <c r="E64" s="40">
        <f>'Africa 2010'!$B$29/'Africa 2010'!$L$29</f>
        <v>6.6839826839826838E-2</v>
      </c>
      <c r="F64" s="40">
        <f>'Africa 2015'!$B$29/'Africa 2015'!$L$29</f>
        <v>1.4106145251396649E-2</v>
      </c>
      <c r="G64" s="40">
        <f>'Africa 2018'!$B$29/'Africa 2018'!$L$29</f>
        <v>2.3773136355917813E-2</v>
      </c>
      <c r="H64" s="77">
        <f t="shared" si="0"/>
        <v>2.3773136355917813E-2</v>
      </c>
      <c r="I64" s="77">
        <f t="shared" si="0"/>
        <v>2.3773136355917813E-2</v>
      </c>
    </row>
    <row r="65" spans="1:9" x14ac:dyDescent="0.35">
      <c r="A65" s="30" t="s">
        <v>143</v>
      </c>
      <c r="B65" s="40">
        <f>'Africa 1995'!$D$29/'Africa 1995'!$L$29</f>
        <v>0.32708803611738146</v>
      </c>
      <c r="C65" s="40">
        <f>'Africa 2000'!$D$29/'Africa 2000'!$L$29</f>
        <v>0.28037814157251556</v>
      </c>
      <c r="D65" s="40">
        <f>'Africa 2005'!$D$29/'Africa 2005'!$L$29</f>
        <v>0.46100471829031364</v>
      </c>
      <c r="E65" s="40">
        <f>'Africa 2010'!$D$29/'Africa 2010'!$L$29</f>
        <v>0.56415584415584419</v>
      </c>
      <c r="F65" s="40">
        <f>'Africa 2015'!$D$29/'Africa 2015'!$L$29</f>
        <v>0.56047486033519556</v>
      </c>
      <c r="G65" s="40">
        <f>'Africa 2018'!$D$29/'Africa 2018'!$L$29</f>
        <v>0.46170826965528955</v>
      </c>
      <c r="H65" s="77">
        <f t="shared" si="0"/>
        <v>0.46170826965528955</v>
      </c>
      <c r="I65" s="77">
        <f t="shared" si="0"/>
        <v>0.46170826965528955</v>
      </c>
    </row>
    <row r="66" spans="1:9" x14ac:dyDescent="0.35">
      <c r="A66" s="30" t="s">
        <v>241</v>
      </c>
      <c r="B66" s="40">
        <f>'Africa 1995'!$E$29/'Africa 1995'!$L$29</f>
        <v>3.5440180586907448E-2</v>
      </c>
      <c r="C66" s="40">
        <f>'Africa 2000'!$E$29/'Africa 2000'!$L$29</f>
        <v>0.11367304588425178</v>
      </c>
      <c r="D66" s="40">
        <f>'Africa 2005'!$E$29/'Africa 2005'!$L$29</f>
        <v>3.996669442131557E-2</v>
      </c>
      <c r="E66" s="40">
        <f>'Africa 2010'!$E$29/'Africa 2010'!$L$29</f>
        <v>8.9696969696969692E-2</v>
      </c>
      <c r="F66" s="40">
        <f>'Africa 2015'!$E$29/'Africa 2015'!$L$29</f>
        <v>8.0586592178770955E-2</v>
      </c>
      <c r="G66" s="40">
        <f>'Africa 2018'!$E$29/'Africa 2018'!$L$29</f>
        <v>0.11971472236372899</v>
      </c>
      <c r="H66" s="77">
        <f t="shared" si="0"/>
        <v>0.11971472236372899</v>
      </c>
      <c r="I66" s="77">
        <f t="shared" si="0"/>
        <v>0.11971472236372899</v>
      </c>
    </row>
    <row r="67" spans="1:9" x14ac:dyDescent="0.35">
      <c r="A67" s="30" t="s">
        <v>145</v>
      </c>
      <c r="B67" s="40">
        <f>'Africa 1995'!$H$29/'Africa 1995'!$L$29</f>
        <v>0</v>
      </c>
      <c r="C67" s="40">
        <f>'Africa 2000'!$H$29/'Africa 2000'!$L$29</f>
        <v>0</v>
      </c>
      <c r="D67" s="40">
        <f>'Africa 2005'!$H$29/'Africa 2005'!$L$29</f>
        <v>4.9958368026644462E-3</v>
      </c>
      <c r="E67" s="40">
        <f>'Africa 2010'!$H$29/'Africa 2010'!$L$29</f>
        <v>1.1774891774891775E-2</v>
      </c>
      <c r="F67" s="40">
        <f>'Africa 2015'!$H$29/'Africa 2015'!$L$29</f>
        <v>1.5502793296089385E-2</v>
      </c>
      <c r="G67" s="40">
        <f>'Africa 2018'!$H$29/'Africa 2018'!$L$29</f>
        <v>2.1905247070809986E-2</v>
      </c>
      <c r="H67" s="77">
        <f t="shared" si="0"/>
        <v>2.1905247070809986E-2</v>
      </c>
      <c r="I67" s="77">
        <f t="shared" si="0"/>
        <v>2.1905247070809986E-2</v>
      </c>
    </row>
    <row r="68" spans="1:9" x14ac:dyDescent="0.35">
      <c r="A68" s="30" t="s">
        <v>146</v>
      </c>
      <c r="B68" s="40">
        <f>'Africa 1995'!$I$29/'Africa 1995'!$L$29</f>
        <v>0.25349887133182847</v>
      </c>
      <c r="C68" s="40">
        <f>'Africa 2000'!$I$29/'Africa 2000'!$L$29</f>
        <v>8.8079317500576432E-2</v>
      </c>
      <c r="D68" s="40">
        <f>'Africa 2005'!$I$29/'Africa 2005'!$L$29</f>
        <v>0.11074104912572856</v>
      </c>
      <c r="E68" s="40">
        <f>'Africa 2010'!$I$29/'Africa 2010'!$L$29</f>
        <v>7.2727272727272724E-2</v>
      </c>
      <c r="F68" s="40">
        <f>'Africa 2015'!$I$29/'Africa 2015'!$L$29</f>
        <v>6.1871508379888265E-2</v>
      </c>
      <c r="G68" s="40">
        <f>'Africa 2018'!$I$29/'Africa 2018'!$L$29</f>
        <v>7.8960774325012736E-2</v>
      </c>
      <c r="H68" s="77">
        <f t="shared" si="0"/>
        <v>7.8960774325012736E-2</v>
      </c>
      <c r="I68" s="77">
        <f t="shared" si="0"/>
        <v>7.8960774325012736E-2</v>
      </c>
    </row>
    <row r="69" spans="1:9" x14ac:dyDescent="0.35">
      <c r="A69" s="30" t="s">
        <v>147</v>
      </c>
      <c r="B69" s="40">
        <f>'Africa 1995'!$J$29/'Africa 1995'!$L$29</f>
        <v>0.37697516930022573</v>
      </c>
      <c r="C69" s="40">
        <f>'Africa 2000'!$J$29/'Africa 2000'!$L$29</f>
        <v>0.5111828452847591</v>
      </c>
      <c r="D69" s="40">
        <f>'Africa 2005'!$J$29/'Africa 2005'!$L$29</f>
        <v>0.37330002775464888</v>
      </c>
      <c r="E69" s="40">
        <f>'Africa 2010'!$J$29/'Africa 2010'!$L$29</f>
        <v>0.19497835497835497</v>
      </c>
      <c r="F69" s="40">
        <f>'Africa 2015'!$J$29/'Africa 2015'!$L$29</f>
        <v>0.26717877094972065</v>
      </c>
      <c r="G69" s="40">
        <f>'Africa 2018'!$J$29/'Africa 2018'!$L$29</f>
        <v>0.29325861776192902</v>
      </c>
      <c r="H69" s="89">
        <f>1-H70-H68-H67-H66-H65-H64</f>
        <v>0.2939378502292409</v>
      </c>
      <c r="I69" s="89">
        <f>1-I70-I68-I67-I66-I65-I64</f>
        <v>0.2939378502292409</v>
      </c>
    </row>
    <row r="70" spans="1:9" x14ac:dyDescent="0.35">
      <c r="A70" s="30" t="s">
        <v>148</v>
      </c>
      <c r="B70" s="40">
        <f>'Africa 1995'!$K$29/'Africa 1995'!$L$29</f>
        <v>0</v>
      </c>
      <c r="C70" s="40">
        <f>'Africa 2000'!$K$29/'Africa 2000'!$L$29</f>
        <v>0</v>
      </c>
      <c r="D70" s="40">
        <f>'Africa 2005'!$K$29/'Africa 2005'!$L$29</f>
        <v>0</v>
      </c>
      <c r="E70" s="40">
        <f>'Africa 2010'!$K$29/'Africa 2010'!$L$29</f>
        <v>0</v>
      </c>
      <c r="F70" s="40">
        <f>'Africa 2015'!$K$29/'Africa 2015'!$L$29</f>
        <v>0</v>
      </c>
      <c r="G70" s="40">
        <f>'Africa 2018'!$K$29/'Africa 2018'!$L$29</f>
        <v>0</v>
      </c>
      <c r="H70" s="77">
        <f t="shared" ref="H70:I132" si="1">G70</f>
        <v>0</v>
      </c>
      <c r="I70" s="77">
        <f t="shared" si="1"/>
        <v>0</v>
      </c>
    </row>
    <row r="71" spans="1:9" x14ac:dyDescent="0.35">
      <c r="A71" s="38" t="s">
        <v>155</v>
      </c>
      <c r="B71" s="42"/>
      <c r="C71" s="42"/>
      <c r="D71" s="42"/>
      <c r="E71" s="42"/>
      <c r="F71" s="42"/>
      <c r="G71" s="42"/>
      <c r="H71" s="42"/>
      <c r="I71" s="42"/>
    </row>
    <row r="72" spans="1:9" x14ac:dyDescent="0.35">
      <c r="A72" s="30" t="s">
        <v>147</v>
      </c>
      <c r="B72" s="40">
        <f>'Africa 1995'!$J21/IF('Africa 1995'!$J22=0,1,'Africa 1995'!$J22)*-1</f>
        <v>0.11980499695307739</v>
      </c>
      <c r="C72" s="40">
        <f>'Africa 2000'!$J21/IF('Africa 2000'!$J22=0,1,'Africa 2000'!$J22)*-1</f>
        <v>0.14232629656917706</v>
      </c>
      <c r="D72" s="40">
        <f>'Africa 2005'!$J21/IF('Africa 2005'!$J22=0,1,'Africa 2005'!$J22)*-1</f>
        <v>0.13899439092486857</v>
      </c>
      <c r="E72" s="40">
        <f>'Africa 2010'!$J21/IF('Africa 2010'!$J22=0,1,'Africa 2010'!$J22)*-1</f>
        <v>0.16442895625775003</v>
      </c>
      <c r="F72" s="40">
        <f>'Africa 2015'!$J21/IF('Africa 2015'!$J22=0,1,'Africa 2015'!$J22)*-1</f>
        <v>0.17442315942623715</v>
      </c>
      <c r="G72" s="40">
        <f>'Africa 2018'!$J21/IF('Africa 2018'!$J22=0,1,'Africa 2018'!$J22)*-1</f>
        <v>0.17933380048196065</v>
      </c>
      <c r="H72" s="77">
        <f t="shared" si="1"/>
        <v>0.17933380048196065</v>
      </c>
      <c r="I72" s="77">
        <f t="shared" si="1"/>
        <v>0.17933380048196065</v>
      </c>
    </row>
    <row r="73" spans="1:9" x14ac:dyDescent="0.35">
      <c r="A73" s="30" t="s">
        <v>148</v>
      </c>
      <c r="B73" s="40">
        <f>'Africa 1995'!$K21/IF('Africa 1995'!$K22=0,1,'Africa 1995'!$K22)*-1</f>
        <v>0</v>
      </c>
      <c r="C73" s="40">
        <f>'Africa 2000'!$K21/IF('Africa 2000'!$K22=0,1,'Africa 2000'!$K22)*-1</f>
        <v>0</v>
      </c>
      <c r="D73" s="40">
        <f>'Africa 2005'!$K21/IF('Africa 2005'!$K22=0,1,'Africa 2005'!$K22)*-1</f>
        <v>0</v>
      </c>
      <c r="E73" s="40">
        <f>'Africa 2010'!$K21/IF('Africa 2010'!$K22=0,1,'Africa 2010'!$K22)*-1</f>
        <v>0</v>
      </c>
      <c r="F73" s="40">
        <f>'Africa 2015'!$K21/IF('Africa 2015'!$K22=0,1,'Africa 2015'!$K22)*-1</f>
        <v>0</v>
      </c>
      <c r="G73" s="40">
        <f>'Africa 2018'!$K21/IF('Africa 2018'!$K22=0,1,'Africa 2018'!$K22)*-1</f>
        <v>0</v>
      </c>
      <c r="H73" s="77">
        <f t="shared" si="1"/>
        <v>0</v>
      </c>
      <c r="I73" s="77">
        <f t="shared" si="1"/>
        <v>0</v>
      </c>
    </row>
    <row r="74" spans="1:9" x14ac:dyDescent="0.35">
      <c r="A74" s="38" t="s">
        <v>242</v>
      </c>
      <c r="B74" s="42"/>
      <c r="C74" s="42"/>
      <c r="D74" s="42"/>
      <c r="E74" s="42"/>
      <c r="F74" s="42"/>
      <c r="G74" s="42"/>
      <c r="H74" s="42"/>
      <c r="I74" s="42"/>
    </row>
    <row r="75" spans="1:9" x14ac:dyDescent="0.35">
      <c r="A75" s="30" t="s">
        <v>243</v>
      </c>
      <c r="B75" s="40">
        <f>'Africa 1995'!$L20/B5*0.041872</f>
        <v>5.400300034669233E-2</v>
      </c>
      <c r="C75" s="40">
        <f>'Africa 2000'!$L20/C5*0.041872</f>
        <v>5.1841371918542337E-2</v>
      </c>
      <c r="D75" s="40">
        <f>'Africa 2005'!$L20/D5*0.041872</f>
        <v>7.1343971402114681E-2</v>
      </c>
      <c r="E75" s="40">
        <f>'Africa 2010'!$L20/E5*0.041872</f>
        <v>7.5453982752419421E-2</v>
      </c>
      <c r="F75" s="40">
        <f>'Africa 2015'!$L20/F5*0.041872</f>
        <v>6.1834753679989057E-2</v>
      </c>
      <c r="G75" s="40">
        <f>'Africa 2018'!$L20/G5*0.041872</f>
        <v>6.1258941733524454E-2</v>
      </c>
      <c r="H75" s="77">
        <f t="shared" si="1"/>
        <v>6.1258941733524454E-2</v>
      </c>
      <c r="I75" s="77">
        <f t="shared" si="1"/>
        <v>6.1258941733524454E-2</v>
      </c>
    </row>
    <row r="76" spans="1:9" x14ac:dyDescent="0.35">
      <c r="A76" s="39" t="s">
        <v>158</v>
      </c>
      <c r="B76" s="43"/>
      <c r="C76" s="43"/>
      <c r="D76" s="43"/>
      <c r="E76" s="43"/>
      <c r="F76" s="43"/>
      <c r="G76" s="43"/>
      <c r="H76" s="43">
        <f t="shared" si="1"/>
        <v>0</v>
      </c>
      <c r="I76" s="43">
        <f t="shared" si="1"/>
        <v>0</v>
      </c>
    </row>
    <row r="77" spans="1:9" x14ac:dyDescent="0.35">
      <c r="A77" s="30" t="s">
        <v>147</v>
      </c>
      <c r="B77" s="40">
        <f>'Africa 1995'!$J20/'Africa 1995'!$L20</f>
        <v>0.20687586248275033</v>
      </c>
      <c r="C77" s="40">
        <f>'Africa 2000'!$J20/'Africa 2000'!$L20</f>
        <v>0.19026353511963834</v>
      </c>
      <c r="D77" s="40">
        <f>'Africa 2005'!$J20/'Africa 2005'!$L20</f>
        <v>0.10886407083207567</v>
      </c>
      <c r="E77" s="40">
        <f>'Africa 2010'!$J20/'Africa 2010'!$L20</f>
        <v>0.10439819305490119</v>
      </c>
      <c r="F77" s="40">
        <f>'Africa 2015'!$J20/'Africa 2015'!$L20</f>
        <v>0.13042068335249551</v>
      </c>
      <c r="G77" s="40">
        <f>'Africa 2018'!$J20/'Africa 2018'!$L20</f>
        <v>0.12642084835042972</v>
      </c>
      <c r="H77" s="89">
        <f>1-H78-H79-H80-H81-H82-H83</f>
        <v>0.1265040199611866</v>
      </c>
      <c r="I77" s="89">
        <f>1-I78-I79-I80-I81-I82-I83</f>
        <v>0.1265040199611866</v>
      </c>
    </row>
    <row r="78" spans="1:9" x14ac:dyDescent="0.35">
      <c r="A78" s="30" t="s">
        <v>148</v>
      </c>
      <c r="B78" s="40">
        <f>'Africa 1995'!$K20/'Africa 1995'!$L20</f>
        <v>0</v>
      </c>
      <c r="C78" s="40">
        <f>'Africa 2000'!$K20/'Africa 2000'!$L20</f>
        <v>0</v>
      </c>
      <c r="D78" s="40">
        <f>'Africa 2005'!$K20/'Africa 2005'!$L20</f>
        <v>0</v>
      </c>
      <c r="E78" s="40">
        <f>'Africa 2010'!$K20/'Africa 2010'!$L20</f>
        <v>0</v>
      </c>
      <c r="F78" s="40">
        <f>'Africa 2015'!$K20/'Africa 2015'!$L20</f>
        <v>0</v>
      </c>
      <c r="G78" s="40">
        <f>'Africa 2018'!$K20/'Africa 2018'!$L20</f>
        <v>0</v>
      </c>
      <c r="H78" s="77">
        <f t="shared" si="1"/>
        <v>0</v>
      </c>
      <c r="I78" s="77">
        <f t="shared" si="1"/>
        <v>0</v>
      </c>
    </row>
    <row r="79" spans="1:9" x14ac:dyDescent="0.35">
      <c r="A79" s="30" t="s">
        <v>141</v>
      </c>
      <c r="B79" s="40">
        <f>'Africa 1995'!$B20/'Africa 1995'!$L20</f>
        <v>1.6799664006719867E-3</v>
      </c>
      <c r="C79" s="40">
        <f>'Africa 2000'!$B20/'Africa 2000'!$L20</f>
        <v>1.0475245341272468E-3</v>
      </c>
      <c r="D79" s="40">
        <f>'Africa 2005'!$B20/'Africa 2005'!$L20</f>
        <v>0.31575946607639938</v>
      </c>
      <c r="E79" s="40">
        <f>'Africa 2010'!$B20/'Africa 2010'!$L20</f>
        <v>0.39611451375994233</v>
      </c>
      <c r="F79" s="40">
        <f>'Africa 2015'!$B20/'Africa 2015'!$L20</f>
        <v>0.39379735267238586</v>
      </c>
      <c r="G79" s="40">
        <f>'Africa 2018'!$B20/'Africa 2018'!$L20</f>
        <v>0.39110063764901581</v>
      </c>
      <c r="H79" s="77">
        <f t="shared" si="1"/>
        <v>0.39110063764901581</v>
      </c>
      <c r="I79" s="77">
        <f t="shared" si="1"/>
        <v>0.39110063764901581</v>
      </c>
    </row>
    <row r="80" spans="1:9" x14ac:dyDescent="0.35">
      <c r="A80" s="30" t="s">
        <v>244</v>
      </c>
      <c r="B80" s="40">
        <f>'Africa 1995'!$E20/'Africa 1995'!$L20</f>
        <v>0.52882942341153172</v>
      </c>
      <c r="C80" s="40">
        <f>'Africa 2000'!$E20/'Africa 2000'!$L20</f>
        <v>0.55099790495093171</v>
      </c>
      <c r="D80" s="40">
        <f>'Africa 2005'!$E20/'Africa 2005'!$L20</f>
        <v>0.40141529999664621</v>
      </c>
      <c r="E80" s="40">
        <f>'Africa 2010'!$E20/'Africa 2010'!$L20</f>
        <v>0.35448826317102239</v>
      </c>
      <c r="F80" s="40">
        <f>'Africa 2015'!$E20/'Africa 2015'!$L20</f>
        <v>0.3524365437339701</v>
      </c>
      <c r="G80" s="40">
        <f>'Africa 2018'!$E20/'Africa 2018'!$L20</f>
        <v>0.37036318270030494</v>
      </c>
      <c r="H80" s="77">
        <f t="shared" si="1"/>
        <v>0.37036318270030494</v>
      </c>
      <c r="I80" s="77">
        <f t="shared" si="1"/>
        <v>0.37036318270030494</v>
      </c>
    </row>
    <row r="81" spans="1:9" x14ac:dyDescent="0.35">
      <c r="A81" s="30" t="s">
        <v>160</v>
      </c>
      <c r="B81" s="40">
        <f>'Africa 1995'!$C20/'Africa 1995'!$L20</f>
        <v>2.3459530809383813E-2</v>
      </c>
      <c r="C81" s="40">
        <f>'Africa 2000'!$C20/'Africa 2000'!$L20</f>
        <v>2.563678465100893E-2</v>
      </c>
      <c r="D81" s="40">
        <f>'Africa 2005'!$C20/'Africa 2005'!$L20</f>
        <v>1.5393902807123452E-2</v>
      </c>
      <c r="E81" s="40">
        <f>'Africa 2010'!$C20/'Africa 2010'!$L20</f>
        <v>1.7681456641631794E-2</v>
      </c>
      <c r="F81" s="40">
        <f>'Africa 2015'!$C20/'Africa 2015'!$L20</f>
        <v>2.5677309041596652E-2</v>
      </c>
      <c r="G81" s="40">
        <f>'Africa 2018'!$C20/'Africa 2018'!$L20</f>
        <v>1.8907679512059884E-2</v>
      </c>
      <c r="H81" s="77">
        <f t="shared" si="1"/>
        <v>1.8907679512059884E-2</v>
      </c>
      <c r="I81" s="77">
        <f t="shared" si="1"/>
        <v>1.8907679512059884E-2</v>
      </c>
    </row>
    <row r="82" spans="1:9" x14ac:dyDescent="0.35">
      <c r="A82" s="30" t="s">
        <v>143</v>
      </c>
      <c r="B82" s="40">
        <f>'Africa 1995'!$D20/'Africa 1995'!$L20</f>
        <v>0.23933521329573409</v>
      </c>
      <c r="C82" s="40">
        <f>'Africa 2000'!$D20/'Africa 2000'!$L20</f>
        <v>0.23199911787407654</v>
      </c>
      <c r="D82" s="40">
        <f>'Africa 2005'!$D20/'Africa 2005'!$L20</f>
        <v>0.15850018445853037</v>
      </c>
      <c r="E82" s="40">
        <f>'Africa 2010'!$D20/'Africa 2010'!$L20</f>
        <v>0.12734528725438571</v>
      </c>
      <c r="F82" s="40">
        <f>'Africa 2015'!$D20/'Africa 2015'!$L20</f>
        <v>9.7579670410660069E-2</v>
      </c>
      <c r="G82" s="40">
        <f>'Africa 2018'!$D20/'Africa 2018'!$L20</f>
        <v>9.2985860826171329E-2</v>
      </c>
      <c r="H82" s="77">
        <f t="shared" si="1"/>
        <v>9.2985860826171329E-2</v>
      </c>
      <c r="I82" s="77">
        <f t="shared" si="1"/>
        <v>9.2985860826171329E-2</v>
      </c>
    </row>
    <row r="83" spans="1:9" x14ac:dyDescent="0.35">
      <c r="A83" s="30" t="s">
        <v>161</v>
      </c>
      <c r="B83" s="40">
        <f>'Africa 1995'!$I20/'Africa 1995'!$L20</f>
        <v>0</v>
      </c>
      <c r="C83" s="40">
        <f>'Africa 2000'!$I20/'Africa 2000'!$L20</f>
        <v>0</v>
      </c>
      <c r="D83" s="40">
        <f>'Africa 2005'!$I20/'Africa 2005'!$L20</f>
        <v>0</v>
      </c>
      <c r="E83" s="40">
        <f>'Africa 2010'!$I20/'Africa 2010'!$L20</f>
        <v>0</v>
      </c>
      <c r="F83" s="40">
        <f>'Africa 2015'!$I20/'Africa 2015'!$L20</f>
        <v>0</v>
      </c>
      <c r="G83" s="40">
        <f>'Africa 2018'!$I20/'Africa 2018'!$L20</f>
        <v>1.386193512614361E-4</v>
      </c>
      <c r="H83" s="77">
        <f t="shared" si="1"/>
        <v>1.386193512614361E-4</v>
      </c>
      <c r="I83" s="77">
        <f t="shared" si="1"/>
        <v>1.386193512614361E-4</v>
      </c>
    </row>
    <row r="84" spans="1:9" ht="18.75" customHeight="1" x14ac:dyDescent="0.35">
      <c r="A84" s="32" t="s">
        <v>162</v>
      </c>
      <c r="B84" s="82"/>
      <c r="C84" s="82"/>
      <c r="D84" s="82"/>
      <c r="E84" s="82"/>
      <c r="F84" s="82"/>
      <c r="G84" s="82"/>
      <c r="H84" s="42"/>
      <c r="I84" s="42"/>
    </row>
    <row r="85" spans="1:9" x14ac:dyDescent="0.35">
      <c r="A85" s="30" t="s">
        <v>163</v>
      </c>
      <c r="B85" s="40">
        <f>'Africa 1995'!$K13/IF(('Africa 1995'!$K13+'Africa 1995'!$K14)=0,1,('Africa 1995'!$K13+'Africa 1995'!$K14))</f>
        <v>0</v>
      </c>
      <c r="C85" s="40">
        <f>'Africa 2000'!$K13/IF(('Africa 2000'!$K13+'Africa 2000'!$K14)=0,1,('Africa 2000'!$K13+'Africa 2000'!$K14))</f>
        <v>0</v>
      </c>
      <c r="D85" s="40">
        <f>'Africa 2005'!$K13/IF(('Africa 2005'!$K13+'Africa 2005'!$K14)=0,1,('Africa 2005'!$K13+'Africa 2005'!$K14))</f>
        <v>0</v>
      </c>
      <c r="E85" s="40">
        <f>'Africa 2010'!$K13/IF(('Africa 2010'!$K13+'Africa 2010'!$K14)=0,1,('Africa 2010'!$K13+'Africa 2010'!$K14))</f>
        <v>0</v>
      </c>
      <c r="F85" s="40">
        <f>'Africa 2015'!$K13/IF(('Africa 2015'!$K13+'Africa 2015'!$K14)=0,1,('Africa 2015'!$K13+'Africa 2015'!$K14))</f>
        <v>0</v>
      </c>
      <c r="G85" s="40">
        <f>'Africa 2018'!$K13/IF(('Africa 2018'!$K13+'Africa 2018'!$K14)=0,1,('Africa 2018'!$K13+'Africa 2018'!$K14))</f>
        <v>0</v>
      </c>
      <c r="H85" s="89">
        <f>1-H86</f>
        <v>1</v>
      </c>
      <c r="I85" s="89">
        <f>1-I86</f>
        <v>1</v>
      </c>
    </row>
    <row r="86" spans="1:9" x14ac:dyDescent="0.35">
      <c r="A86" s="30" t="s">
        <v>164</v>
      </c>
      <c r="B86" s="40">
        <f>'Africa 1995'!$K14/IF(('Africa 1995'!$K13+'Africa 1995'!$K14)=0,1,('Africa 1995'!$K13+'Africa 1995'!$K14))</f>
        <v>0</v>
      </c>
      <c r="C86" s="40">
        <f>'Africa 2000'!$K14/IF(('Africa 2000'!$K13+'Africa 2000'!$K14)=0,1,('Africa 2000'!$K13+'Africa 2000'!$K14))</f>
        <v>0</v>
      </c>
      <c r="D86" s="40">
        <f>'Africa 2005'!$K14/IF(('Africa 2005'!$K13+'Africa 2005'!$K14)=0,1,('Africa 2005'!$K13+'Africa 2005'!$K14))</f>
        <v>0</v>
      </c>
      <c r="E86" s="40">
        <f>'Africa 2010'!$K14/IF(('Africa 2010'!$K13+'Africa 2010'!$K14)=0,1,('Africa 2010'!$K13+'Africa 2010'!$K14))</f>
        <v>0</v>
      </c>
      <c r="F86" s="40">
        <f>'Africa 2015'!$K14/IF(('Africa 2015'!$K13+'Africa 2015'!$K14)=0,1,('Africa 2015'!$K13+'Africa 2015'!$K14))</f>
        <v>0</v>
      </c>
      <c r="G86" s="40">
        <f>'Africa 2018'!$K14/IF(('Africa 2018'!$K13+'Africa 2018'!$K14)=0,1,('Africa 2018'!$K13+'Africa 2018'!$K14))</f>
        <v>0</v>
      </c>
      <c r="H86" s="77">
        <f t="shared" si="1"/>
        <v>0</v>
      </c>
      <c r="I86" s="77">
        <f t="shared" si="1"/>
        <v>0</v>
      </c>
    </row>
    <row r="87" spans="1:9" x14ac:dyDescent="0.35">
      <c r="A87" s="32" t="s">
        <v>165</v>
      </c>
      <c r="B87" s="82"/>
      <c r="C87" s="82"/>
      <c r="D87" s="82"/>
      <c r="E87" s="82"/>
      <c r="F87" s="82"/>
      <c r="G87" s="82"/>
      <c r="H87" s="42"/>
      <c r="I87" s="42"/>
    </row>
    <row r="88" spans="1:9" x14ac:dyDescent="0.35">
      <c r="A88" s="30" t="s">
        <v>166</v>
      </c>
      <c r="B88" s="40">
        <f>'Africa 1995'!$J14/IF('Africa 1995'!$K14=0,1,'Africa 1995'!$K14)*-1</f>
        <v>0</v>
      </c>
      <c r="C88" s="40">
        <f>'Africa 2000'!$J14/IF('Africa 2000'!$K14=0,1,'Africa 2000'!$K14)*-1</f>
        <v>0</v>
      </c>
      <c r="D88" s="40">
        <f>'Africa 2005'!$J14/IF('Africa 2005'!$K14=0,1,'Africa 2005'!$K14)*-1</f>
        <v>0</v>
      </c>
      <c r="E88" s="40">
        <f>'Africa 2010'!$J14/IF('Africa 2010'!$K14=0,1,'Africa 2010'!$K14)*-1</f>
        <v>0</v>
      </c>
      <c r="F88" s="40">
        <f>'Africa 2015'!$J14/IF('Africa 2015'!$K14=0,1,'Africa 2015'!$K14)*-1</f>
        <v>0</v>
      </c>
      <c r="G88" s="40">
        <f>'Africa 2018'!$J14/IF('Africa 2018'!$K14=0,1,'Africa 2018'!$K14)*-1</f>
        <v>0</v>
      </c>
      <c r="H88" s="77">
        <f t="shared" si="1"/>
        <v>0</v>
      </c>
      <c r="I88" s="77">
        <f t="shared" si="1"/>
        <v>0</v>
      </c>
    </row>
    <row r="89" spans="1:9" ht="18.75" customHeight="1" x14ac:dyDescent="0.35">
      <c r="A89" s="32" t="s">
        <v>167</v>
      </c>
      <c r="B89" s="82"/>
      <c r="C89" s="82"/>
      <c r="D89" s="82"/>
      <c r="E89" s="82"/>
      <c r="F89" s="82"/>
      <c r="G89" s="82"/>
      <c r="H89" s="42"/>
      <c r="I89" s="42"/>
    </row>
    <row r="90" spans="1:9" x14ac:dyDescent="0.35">
      <c r="A90" s="30" t="s">
        <v>168</v>
      </c>
      <c r="B90" s="34">
        <f>'Africa 1995'!$J13/IF('Africa 1995'!$K13=0,1,'Africa 1995'!$K13)</f>
        <v>0</v>
      </c>
      <c r="C90" s="34">
        <f>'Africa 2000'!$J13/IF('Africa 2000'!$K13=0,1,'Africa 2000'!$K13)</f>
        <v>0</v>
      </c>
      <c r="D90" s="34">
        <f>'Africa 2005'!$J13/IF('Africa 2005'!$K13=0,1,'Africa 2005'!$K13)</f>
        <v>0</v>
      </c>
      <c r="E90" s="34">
        <f>'Africa 2010'!$J13/IF('Africa 2010'!$K13=0,1,'Africa 2010'!$K13)</f>
        <v>12</v>
      </c>
      <c r="F90" s="34">
        <f>'Africa 2015'!$J13/IF('Africa 2015'!$K13=0,1,'Africa 2015'!$K13)</f>
        <v>58</v>
      </c>
      <c r="G90" s="34">
        <f>'Africa 2018'!$J13/IF('Africa 2018'!$K13=0,1,'Africa 2018'!$K13)</f>
        <v>90</v>
      </c>
      <c r="H90" s="78">
        <f t="shared" si="1"/>
        <v>90</v>
      </c>
      <c r="I90" s="78">
        <f t="shared" si="1"/>
        <v>90</v>
      </c>
    </row>
    <row r="91" spans="1:9" ht="18.75" customHeight="1" x14ac:dyDescent="0.35">
      <c r="A91" s="32" t="s">
        <v>169</v>
      </c>
      <c r="B91" s="82"/>
      <c r="C91" s="82"/>
      <c r="D91" s="82"/>
      <c r="E91" s="82"/>
      <c r="F91" s="82"/>
      <c r="G91" s="82"/>
      <c r="H91" s="33"/>
      <c r="I91" s="33"/>
    </row>
    <row r="92" spans="1:9" x14ac:dyDescent="0.35">
      <c r="A92" s="30" t="s">
        <v>170</v>
      </c>
      <c r="B92" s="40">
        <v>1</v>
      </c>
      <c r="C92" s="40">
        <v>1</v>
      </c>
      <c r="D92" s="40">
        <v>1</v>
      </c>
      <c r="E92" s="40">
        <v>1</v>
      </c>
      <c r="F92" s="40">
        <v>1</v>
      </c>
      <c r="G92" s="40">
        <v>1</v>
      </c>
      <c r="H92" s="77">
        <f t="shared" si="1"/>
        <v>1</v>
      </c>
      <c r="I92" s="77">
        <f t="shared" si="1"/>
        <v>1</v>
      </c>
    </row>
    <row r="93" spans="1:9" x14ac:dyDescent="0.35">
      <c r="A93" s="32" t="s">
        <v>171</v>
      </c>
      <c r="B93" s="82"/>
      <c r="C93" s="82"/>
      <c r="D93" s="82"/>
      <c r="E93" s="82"/>
      <c r="F93" s="82"/>
      <c r="G93" s="82"/>
      <c r="H93" s="42"/>
      <c r="I93" s="42"/>
    </row>
    <row r="94" spans="1:9" x14ac:dyDescent="0.35">
      <c r="A94" s="30" t="s">
        <v>172</v>
      </c>
      <c r="B94" s="40">
        <f>'Africa 1995'!$G12/'Africa 1995'!$J12*-1</f>
        <v>0.16612743056667842</v>
      </c>
      <c r="C94" s="40">
        <f>'Africa 2000'!$G12/'Africa 2000'!$J12*-1</f>
        <v>0.16988040672251198</v>
      </c>
      <c r="D94" s="40">
        <f>'Africa 2005'!$G12/'Africa 2005'!$J12*-1</f>
        <v>0.15995351636265537</v>
      </c>
      <c r="E94" s="40">
        <f>'Africa 2010'!$G12/'Africa 2010'!$J12*-1</f>
        <v>0.16367445161960492</v>
      </c>
      <c r="F94" s="40">
        <f>'Africa 2015'!$G12/'Africa 2015'!$J12*-1</f>
        <v>0.15587842802093174</v>
      </c>
      <c r="G94" s="40">
        <f>'Africa 2018'!$G12/'Africa 2018'!$J12*-1</f>
        <v>0.15737110165352683</v>
      </c>
      <c r="H94" s="77">
        <f t="shared" si="1"/>
        <v>0.15737110165352683</v>
      </c>
      <c r="I94" s="77">
        <f t="shared" si="1"/>
        <v>0.15737110165352683</v>
      </c>
    </row>
    <row r="95" spans="1:9" x14ac:dyDescent="0.35">
      <c r="A95" s="30" t="s">
        <v>145</v>
      </c>
      <c r="B95" s="40">
        <f>'Africa 1995'!$H12/'Africa 1995'!$J12*-1</f>
        <v>1.0763366114617036E-2</v>
      </c>
      <c r="C95" s="40">
        <f>'Africa 2000'!$H12/'Africa 2000'!$J12*-1</f>
        <v>1.0378799852484064E-2</v>
      </c>
      <c r="D95" s="40">
        <f>'Africa 2005'!$H12/'Africa 2005'!$J12*-1</f>
        <v>1.9361265018987737E-2</v>
      </c>
      <c r="E95" s="40">
        <f>'Africa 2010'!$H12/'Africa 2010'!$J12*-1</f>
        <v>2.5899828604075414E-2</v>
      </c>
      <c r="F95" s="40">
        <f>'Africa 2015'!$H12/'Africa 2015'!$J12*-1</f>
        <v>7.272127509633694E-2</v>
      </c>
      <c r="G95" s="40">
        <f>'Africa 2018'!$H12/'Africa 2018'!$J12*-1</f>
        <v>9.2750994209167659E-2</v>
      </c>
      <c r="H95" s="77">
        <f t="shared" si="1"/>
        <v>9.2750994209167659E-2</v>
      </c>
      <c r="I95" s="77">
        <f t="shared" si="1"/>
        <v>9.2750994209167659E-2</v>
      </c>
    </row>
    <row r="96" spans="1:9" x14ac:dyDescent="0.35">
      <c r="A96" s="30" t="s">
        <v>173</v>
      </c>
      <c r="B96" s="40">
        <f t="shared" ref="B96:G96" si="2">1-B94-B95</f>
        <v>0.82310920331870452</v>
      </c>
      <c r="C96" s="40">
        <f t="shared" si="2"/>
        <v>0.81974079342500406</v>
      </c>
      <c r="D96" s="40">
        <f t="shared" si="2"/>
        <v>0.82068521861835697</v>
      </c>
      <c r="E96" s="40">
        <f t="shared" si="2"/>
        <v>0.81042571977631961</v>
      </c>
      <c r="F96" s="40">
        <f t="shared" si="2"/>
        <v>0.77140029688273126</v>
      </c>
      <c r="G96" s="40">
        <f t="shared" si="2"/>
        <v>0.74987790413730548</v>
      </c>
      <c r="H96" s="89">
        <f>1-H95-H94</f>
        <v>0.74987790413730548</v>
      </c>
      <c r="I96" s="89">
        <f>1-I95-I94</f>
        <v>0.74987790413730548</v>
      </c>
    </row>
    <row r="97" spans="1:9" x14ac:dyDescent="0.35">
      <c r="A97" s="32" t="s">
        <v>174</v>
      </c>
      <c r="B97" s="82"/>
      <c r="C97" s="82"/>
      <c r="D97" s="82"/>
      <c r="E97" s="82"/>
      <c r="F97" s="82"/>
      <c r="G97" s="82"/>
      <c r="H97" s="42"/>
      <c r="I97" s="42"/>
    </row>
    <row r="98" spans="1:9" x14ac:dyDescent="0.35">
      <c r="A98" s="30" t="s">
        <v>145</v>
      </c>
      <c r="B98" s="40">
        <f>'Africa 1995'!$H13/IF(('Africa 1995'!$J13+'Africa 1995'!$K13)=0,1,('Africa 1995'!$J13+'Africa 1995'!$K13))*-1</f>
        <v>0</v>
      </c>
      <c r="C98" s="40">
        <f>'Africa 2000'!$H13/IF(('Africa 2000'!$J13+'Africa 2000'!$K13)=0,1,('Africa 2000'!$J13+'Africa 2000'!$K13))*-1</f>
        <v>0</v>
      </c>
      <c r="D98" s="40">
        <f>'Africa 2005'!$H13/IF(('Africa 2005'!$J13+'Africa 2005'!$K13)=0,1,('Africa 2005'!$J13+'Africa 2005'!$K13))*-1</f>
        <v>0</v>
      </c>
      <c r="E98" s="40">
        <f>'Africa 2010'!$H13/IF(('Africa 2010'!$J13+'Africa 2010'!$K13)=0,1,('Africa 2010'!$J13+'Africa 2010'!$K13))*-1</f>
        <v>0</v>
      </c>
      <c r="F98" s="40">
        <f>'Africa 2015'!$H13/IF(('Africa 2015'!$J13+'Africa 2015'!$K13)=0,1,('Africa 2015'!$J13+'Africa 2015'!$K13))*-1</f>
        <v>0</v>
      </c>
      <c r="G98" s="40">
        <f>'Africa 2018'!$H13/IF(('Africa 2018'!$J13+'Africa 2018'!$K13)=0,1,('Africa 2018'!$J13+'Africa 2018'!$K13))*-1</f>
        <v>0</v>
      </c>
      <c r="H98" s="77">
        <f t="shared" si="1"/>
        <v>0</v>
      </c>
      <c r="I98" s="77">
        <f t="shared" si="1"/>
        <v>0</v>
      </c>
    </row>
    <row r="99" spans="1:9" x14ac:dyDescent="0.35">
      <c r="A99" s="30" t="s">
        <v>173</v>
      </c>
      <c r="B99" s="40">
        <f t="shared" ref="B99:G99" si="3">1-B98</f>
        <v>1</v>
      </c>
      <c r="C99" s="40">
        <f t="shared" si="3"/>
        <v>1</v>
      </c>
      <c r="D99" s="40">
        <f t="shared" si="3"/>
        <v>1</v>
      </c>
      <c r="E99" s="40">
        <f t="shared" si="3"/>
        <v>1</v>
      </c>
      <c r="F99" s="40">
        <f t="shared" si="3"/>
        <v>1</v>
      </c>
      <c r="G99" s="40">
        <f t="shared" si="3"/>
        <v>1</v>
      </c>
      <c r="H99" s="89">
        <f>1-H98</f>
        <v>1</v>
      </c>
      <c r="I99" s="89">
        <f>1-I98</f>
        <v>1</v>
      </c>
    </row>
    <row r="100" spans="1:9" x14ac:dyDescent="0.35">
      <c r="A100" s="32" t="s">
        <v>175</v>
      </c>
      <c r="B100" s="82"/>
      <c r="C100" s="82"/>
      <c r="D100" s="82"/>
      <c r="E100" s="82"/>
      <c r="F100" s="82"/>
      <c r="G100" s="82"/>
      <c r="H100" s="42"/>
      <c r="I100" s="42"/>
    </row>
    <row r="101" spans="1:9" x14ac:dyDescent="0.35">
      <c r="A101" s="30" t="s">
        <v>145</v>
      </c>
      <c r="B101" s="40">
        <f>'Africa 1995'!$H14/IF('Africa 1995'!$K14=0,1,'Africa 1995'!$K14)*-1</f>
        <v>0</v>
      </c>
      <c r="C101" s="40">
        <f>'Africa 2000'!$H14/IF('Africa 2000'!$K14=0,1,'Africa 2000'!$K14)*-1</f>
        <v>0</v>
      </c>
      <c r="D101" s="40">
        <f>'Africa 2005'!$H14/IF('Africa 2005'!$K14=0,1,'Africa 2005'!$K14)*-1</f>
        <v>0</v>
      </c>
      <c r="E101" s="40">
        <f>'Africa 2010'!$H14/IF('Africa 2010'!$K14=0,1,'Africa 2010'!$K14)*-1</f>
        <v>0</v>
      </c>
      <c r="F101" s="40">
        <f>'Africa 2015'!$H14/IF('Africa 2015'!$K14=0,1,'Africa 2015'!$K14)*-1</f>
        <v>0</v>
      </c>
      <c r="G101" s="40">
        <f>'Africa 2018'!$H14/IF('Africa 2018'!$K14=0,1,'Africa 2018'!$K14)*-1</f>
        <v>0</v>
      </c>
      <c r="H101" s="77">
        <f t="shared" si="1"/>
        <v>0</v>
      </c>
      <c r="I101" s="77">
        <f t="shared" si="1"/>
        <v>0</v>
      </c>
    </row>
    <row r="102" spans="1:9" x14ac:dyDescent="0.35">
      <c r="A102" s="30" t="s">
        <v>173</v>
      </c>
      <c r="B102" s="40">
        <f t="shared" ref="B102:G102" si="4">1-B101</f>
        <v>1</v>
      </c>
      <c r="C102" s="40">
        <f t="shared" si="4"/>
        <v>1</v>
      </c>
      <c r="D102" s="40">
        <f t="shared" si="4"/>
        <v>1</v>
      </c>
      <c r="E102" s="40">
        <f t="shared" si="4"/>
        <v>1</v>
      </c>
      <c r="F102" s="40">
        <f t="shared" si="4"/>
        <v>1</v>
      </c>
      <c r="G102" s="40">
        <f t="shared" si="4"/>
        <v>1</v>
      </c>
      <c r="H102" s="89">
        <f>1-H101</f>
        <v>1</v>
      </c>
      <c r="I102" s="89">
        <f>1-I101</f>
        <v>1</v>
      </c>
    </row>
    <row r="103" spans="1:9" x14ac:dyDescent="0.35">
      <c r="A103" s="31" t="s">
        <v>176</v>
      </c>
      <c r="B103" s="81"/>
      <c r="C103" s="81"/>
      <c r="D103" s="81"/>
      <c r="E103" s="81"/>
      <c r="F103" s="81"/>
      <c r="G103" s="81"/>
      <c r="H103" s="42"/>
      <c r="I103" s="42"/>
    </row>
    <row r="104" spans="1:9" x14ac:dyDescent="0.35">
      <c r="A104" s="30" t="s">
        <v>177</v>
      </c>
      <c r="B104" s="40">
        <f>('Africa 1995'!$J12+'Africa 1995'!$G12+'Africa 1995'!$H12)/('Africa 1995'!$B12+'Africa 1995'!$D12+'Africa 1995'!$E12+'Africa 1995'!$F12+'Africa 1995'!$I12)*-1</f>
        <v>0.33876517818296881</v>
      </c>
      <c r="C104" s="40">
        <f>('Africa 2000'!$J12+'Africa 2000'!$G12+'Africa 2000'!$H12)/('Africa 2000'!$B12+'Africa 2000'!$D12+'Africa 2000'!$E12+'Africa 2000'!$F12+'Africa 2000'!$I12)*-1</f>
        <v>0.350297176820208</v>
      </c>
      <c r="D104" s="40">
        <f>('Africa 2005'!$J12+'Africa 2005'!$G12+'Africa 2005'!$H12)/('Africa 2005'!$B12+'Africa 2005'!$D12+'Africa 2005'!$E12+'Africa 2005'!$F12+'Africa 2005'!$I12)*-1</f>
        <v>0.35484015683741127</v>
      </c>
      <c r="E104" s="40">
        <f>('Africa 2010'!$J12+'Africa 2010'!$G12+'Africa 2010'!$H12)/('Africa 2010'!$B12+'Africa 2010'!$D12+'Africa 2010'!$E12+'Africa 2010'!$F12+'Africa 2010'!$I12)*-1</f>
        <v>0.35880396124601421</v>
      </c>
      <c r="F104" s="40">
        <f>('Africa 2015'!$J12+'Africa 2015'!$G12+'Africa 2015'!$H12)/('Africa 2015'!$B12+'Africa 2015'!$D12+'Africa 2015'!$E12+'Africa 2015'!$F12+'Africa 2015'!$I12)*-1</f>
        <v>0.34147749900438074</v>
      </c>
      <c r="G104" s="40">
        <f>('Africa 2018'!$J12+'Africa 2018'!$G12+'Africa 2018'!$H12)/('Africa 2018'!$B12+'Africa 2018'!$D12+'Africa 2018'!$E12+'Africa 2018'!$F12+'Africa 2018'!$I12)*-1</f>
        <v>0.34263999846978788</v>
      </c>
      <c r="H104" s="77">
        <f t="shared" si="1"/>
        <v>0.34263999846978788</v>
      </c>
      <c r="I104" s="77">
        <f t="shared" si="1"/>
        <v>0.34263999846978788</v>
      </c>
    </row>
    <row r="105" spans="1:9" x14ac:dyDescent="0.35">
      <c r="A105" s="30" t="s">
        <v>163</v>
      </c>
      <c r="B105" s="40">
        <f>('Africa 1995'!$J13+'Africa 1995'!$K13+'Africa 1995'!$H13)/IF(('Africa 1995'!$B13+'Africa 1995'!$D13+'Africa 1995'!$E13+'Africa 1995'!$F13+'Africa 1995'!$I13)=0,1,('Africa 1995'!$B13+'Africa 1995'!$D13+'Africa 1995'!$E13+'Africa 1995'!$F13+'Africa 1995'!$I13))*-1</f>
        <v>0</v>
      </c>
      <c r="C105" s="40">
        <f>('Africa 2000'!$J13+'Africa 2000'!$K13+'Africa 2000'!$H13)/IF(('Africa 2000'!$B13+'Africa 2000'!$D13+'Africa 2000'!$E13+'Africa 2000'!$F13+'Africa 2000'!$I13)=0,1,('Africa 2000'!$B13+'Africa 2000'!$D13+'Africa 2000'!$E13+'Africa 2000'!$F13+'Africa 2000'!$I13))*-1</f>
        <v>0</v>
      </c>
      <c r="D105" s="40">
        <f>('Africa 2005'!$J13+'Africa 2005'!$K13+'Africa 2005'!$H13)/IF(('Africa 2005'!$B13+'Africa 2005'!$D13+'Africa 2005'!$E13+'Africa 2005'!$F13+'Africa 2005'!$I13)=0,1,('Africa 2005'!$B13+'Africa 2005'!$D13+'Africa 2005'!$E13+'Africa 2005'!$F13+'Africa 2005'!$I13))*-1</f>
        <v>0</v>
      </c>
      <c r="E105" s="40">
        <f>('Africa 2010'!$J13+'Africa 2010'!$K13+'Africa 2010'!$H13)/IF(('Africa 2010'!$B13+'Africa 2010'!$D13+'Africa 2010'!$E13+'Africa 2010'!$F13+'Africa 2010'!$I13)=0,1,('Africa 2010'!$B13+'Africa 2010'!$D13+'Africa 2010'!$E13+'Africa 2010'!$F13+'Africa 2010'!$I13))*-1</f>
        <v>1</v>
      </c>
      <c r="F105" s="40">
        <f>('Africa 2015'!$J13+'Africa 2015'!$K13+'Africa 2015'!$H13)/IF(('Africa 2015'!$B13+'Africa 2015'!$D13+'Africa 2015'!$E13+'Africa 2015'!$F13+'Africa 2015'!$I13)=0,1,('Africa 2015'!$B13+'Africa 2015'!$D13+'Africa 2015'!$E13+'Africa 2015'!$F13+'Africa 2015'!$I13))*-1</f>
        <v>0.16338028169014085</v>
      </c>
      <c r="G105" s="40">
        <f>('Africa 2018'!$J13+'Africa 2018'!$K13+'Africa 2018'!$H13)/IF(('Africa 2018'!$B13+'Africa 2018'!$D13+'Africa 2018'!$E13+'Africa 2018'!$F13+'Africa 2018'!$I13)=0,1,('Africa 2018'!$B13+'Africa 2018'!$D13+'Africa 2018'!$E13+'Africa 2018'!$F13+'Africa 2018'!$I13))*-1</f>
        <v>0.22613065326633167</v>
      </c>
      <c r="H105" s="77">
        <f t="shared" si="1"/>
        <v>0.22613065326633167</v>
      </c>
      <c r="I105" s="77">
        <f t="shared" si="1"/>
        <v>0.22613065326633167</v>
      </c>
    </row>
    <row r="106" spans="1:9" x14ac:dyDescent="0.35">
      <c r="A106" s="30" t="s">
        <v>178</v>
      </c>
      <c r="B106" s="40">
        <f>('Africa 1995'!$K14+'Africa 1995'!$H14)/IF(('Africa 1995'!$B14+'Africa 1995'!$D14+'Africa 1995'!$E14+'Africa 1995'!$I14)=0,1,('Africa 1995'!$B14+'Africa 1995'!$D14+'Africa 1995'!$E14+'Africa 1995'!$I14))*-1</f>
        <v>0</v>
      </c>
      <c r="C106" s="40">
        <f>('Africa 2000'!$K14+'Africa 2000'!$H14)/IF(('Africa 2000'!$B14+'Africa 2000'!$D14+'Africa 2000'!$E14+'Africa 2000'!$I14)=0,1,('Africa 2000'!$B14+'Africa 2000'!$D14+'Africa 2000'!$E14+'Africa 2000'!$I14))*-1</f>
        <v>0</v>
      </c>
      <c r="D106" s="40">
        <f>('Africa 2005'!$K14+'Africa 2005'!$H14)/IF(('Africa 2005'!$B14+'Africa 2005'!$D14+'Africa 2005'!$E14+'Africa 2005'!$I14)=0,1,('Africa 2005'!$B14+'Africa 2005'!$D14+'Africa 2005'!$E14+'Africa 2005'!$I14))*-1</f>
        <v>0</v>
      </c>
      <c r="E106" s="40">
        <f>('Africa 2010'!$K14+'Africa 2010'!$H14)/IF(('Africa 2010'!$B14+'Africa 2010'!$D14+'Africa 2010'!$E14+'Africa 2010'!$I14)=0,1,('Africa 2010'!$B14+'Africa 2010'!$D14+'Africa 2010'!$E14+'Africa 2010'!$I14))*-1</f>
        <v>0</v>
      </c>
      <c r="F106" s="40">
        <f>('Africa 2015'!$K14+'Africa 2015'!$H14)/IF(('Africa 2015'!$B14+'Africa 2015'!$D14+'Africa 2015'!$E14+'Africa 2015'!$I14)=0,1,('Africa 2015'!$B14+'Africa 2015'!$D14+'Africa 2015'!$E14+'Africa 2015'!$I14))*-1</f>
        <v>0</v>
      </c>
      <c r="G106" s="40">
        <f>('Africa 2018'!$K14+'Africa 2018'!$H14)/IF(('Africa 2018'!$B14+'Africa 2018'!$D14+'Africa 2018'!$E14+'Africa 2018'!$I14)=0,1,('Africa 2018'!$B14+'Africa 2018'!$D14+'Africa 2018'!$E14+'Africa 2018'!$I14))*-1</f>
        <v>0</v>
      </c>
      <c r="H106" s="77">
        <f t="shared" si="1"/>
        <v>0</v>
      </c>
      <c r="I106" s="77">
        <f t="shared" si="1"/>
        <v>0</v>
      </c>
    </row>
    <row r="107" spans="1:9" x14ac:dyDescent="0.35">
      <c r="A107" s="30" t="s">
        <v>170</v>
      </c>
      <c r="B107" s="40">
        <f>'Africa 1995'!$D16/IF('Africa 1995'!$C16=0,1,'Africa 1995'!$C16)*-1</f>
        <v>0.97071204021100121</v>
      </c>
      <c r="C107" s="40">
        <f>'Africa 2000'!$D16/IF('Africa 2000'!$C16=0,1,'Africa 2000'!$C16)*-1</f>
        <v>0.99415092442811581</v>
      </c>
      <c r="D107" s="40">
        <f>'Africa 2005'!$D16/IF('Africa 2005'!$C16=0,1,'Africa 2005'!$C16)*-1</f>
        <v>0.98139007266149558</v>
      </c>
      <c r="E107" s="40">
        <f>'Africa 2010'!$D16/IF('Africa 2010'!$C16=0,1,'Africa 2010'!$C16)*-1</f>
        <v>0.9779118697895991</v>
      </c>
      <c r="F107" s="40">
        <f>'Africa 2015'!$D16/IF('Africa 2015'!$C16=0,1,'Africa 2015'!$C16)*-1</f>
        <v>0.96667002962460213</v>
      </c>
      <c r="G107" s="40">
        <f>'Africa 2018'!$D16/IF('Africa 2018'!$C16=0,1,'Africa 2018'!$C16)*-1</f>
        <v>0.96200117782327044</v>
      </c>
      <c r="H107" s="77">
        <f t="shared" si="1"/>
        <v>0.96200117782327044</v>
      </c>
      <c r="I107" s="77">
        <f t="shared" si="1"/>
        <v>0.96200117782327044</v>
      </c>
    </row>
    <row r="108" spans="1:9" x14ac:dyDescent="0.35">
      <c r="A108" s="32" t="s">
        <v>179</v>
      </c>
      <c r="B108" s="82"/>
      <c r="C108" s="82"/>
      <c r="D108" s="82"/>
      <c r="E108" s="82"/>
      <c r="F108" s="82"/>
      <c r="G108" s="82"/>
      <c r="H108" s="42"/>
      <c r="I108" s="42"/>
    </row>
    <row r="109" spans="1:9" x14ac:dyDescent="0.35">
      <c r="A109" s="30" t="s">
        <v>141</v>
      </c>
      <c r="B109" s="40">
        <f>'Africa 1995'!$B12/('Africa 1995'!$L12-'Africa 1995'!$J12-'Africa 1995'!$G12-'Africa 1995'!$H12)</f>
        <v>0.60881775152609863</v>
      </c>
      <c r="C109" s="40">
        <f>'Africa 2000'!$B12/('Africa 2000'!$L12-'Africa 2000'!$J12-'Africa 2000'!$G12-'Africa 2000'!$H12)</f>
        <v>0.5854724378489502</v>
      </c>
      <c r="D109" s="40">
        <f>'Africa 2005'!$B12/('Africa 2005'!$L12-'Africa 2005'!$J12-'Africa 2005'!$G12-'Africa 2005'!$H12)</f>
        <v>0.52565306432717163</v>
      </c>
      <c r="E109" s="40">
        <f>'Africa 2010'!$B12/('Africa 2010'!$L12-'Africa 2010'!$J12-'Africa 2010'!$G12-'Africa 2010'!$H12)</f>
        <v>0.50487580216651573</v>
      </c>
      <c r="F109" s="40">
        <f>'Africa 2015'!$B12/('Africa 2015'!$L12-'Africa 2015'!$J12-'Africa 2015'!$G12-'Africa 2015'!$H12)</f>
        <v>0.43364788174739344</v>
      </c>
      <c r="G109" s="40">
        <f>'Africa 2018'!$B12/('Africa 2018'!$L12-'Africa 2018'!$J12-'Africa 2018'!$G12-'Africa 2018'!$H12)</f>
        <v>0.4152284006566479</v>
      </c>
      <c r="H109" s="89">
        <f>1-H110-H111-H112-H113-H114</f>
        <v>0.41598899671042211</v>
      </c>
      <c r="I109" s="89">
        <f>1-I110-I111-I112-I113-I114</f>
        <v>0.41598899671042211</v>
      </c>
    </row>
    <row r="110" spans="1:9" x14ac:dyDescent="0.35">
      <c r="A110" s="30" t="s">
        <v>142</v>
      </c>
      <c r="B110" s="40">
        <f>'Africa 1995'!$C12/('Africa 1995'!$L12-'Africa 1995'!$J12-'Africa 1995'!$G12-'Africa 1995'!$H12)</f>
        <v>0</v>
      </c>
      <c r="C110" s="40">
        <f>'Africa 2000'!$C12/('Africa 2000'!$L12-'Africa 2000'!$J12-'Africa 2000'!$G12-'Africa 2000'!$H12)</f>
        <v>1.752474246492243E-3</v>
      </c>
      <c r="D110" s="40">
        <f>'Africa 2005'!$C12/('Africa 2005'!$L12-'Africa 2005'!$J12-'Africa 2005'!$G12-'Africa 2005'!$H12)</f>
        <v>2.9333118700757472E-3</v>
      </c>
      <c r="E110" s="40">
        <f>'Africa 2010'!$C12/('Africa 2010'!$L12-'Africa 2010'!$J12-'Africa 2010'!$G12-'Africa 2010'!$H12)</f>
        <v>5.435320447919125E-3</v>
      </c>
      <c r="F110" s="40">
        <f>'Africa 2015'!$C12/('Africa 2015'!$L12-'Africa 2015'!$J12-'Africa 2015'!$G12-'Africa 2015'!$H12)</f>
        <v>5.2329417975452023E-3</v>
      </c>
      <c r="G110" s="40">
        <f>'Africa 2018'!$C12/('Africa 2018'!$L12-'Africa 2018'!$J12-'Africa 2018'!$G12-'Africa 2018'!$H12)</f>
        <v>5.1340233629754515E-3</v>
      </c>
      <c r="H110" s="77">
        <f t="shared" si="1"/>
        <v>5.1340233629754515E-3</v>
      </c>
      <c r="I110" s="77">
        <f t="shared" si="1"/>
        <v>5.1340233629754515E-3</v>
      </c>
    </row>
    <row r="111" spans="1:9" x14ac:dyDescent="0.35">
      <c r="A111" s="30" t="s">
        <v>143</v>
      </c>
      <c r="B111" s="40">
        <f>'Africa 1995'!$D12/('Africa 1995'!$L12-'Africa 1995'!$J12-'Africa 1995'!$G12-'Africa 1995'!$H12)</f>
        <v>0.14785027753240076</v>
      </c>
      <c r="C111" s="40">
        <f>'Africa 2000'!$D12/('Africa 2000'!$L12-'Africa 2000'!$J12-'Africa 2000'!$G12-'Africa 2000'!$H12)</f>
        <v>0.12313378343462485</v>
      </c>
      <c r="D111" s="40">
        <f>'Africa 2005'!$D12/('Africa 2005'!$L12-'Africa 2005'!$J12-'Africa 2005'!$G12-'Africa 2005'!$H12)</f>
        <v>0.12814459081193716</v>
      </c>
      <c r="E111" s="40">
        <f>'Africa 2010'!$D12/('Africa 2010'!$L12-'Africa 2010'!$J12-'Africa 2010'!$G12-'Africa 2010'!$H12)</f>
        <v>0.12446427076117324</v>
      </c>
      <c r="F111" s="40">
        <f>'Africa 2015'!$D12/('Africa 2015'!$L12-'Africa 2015'!$J12-'Africa 2015'!$G12-'Africa 2015'!$H12)</f>
        <v>0.14985482380889534</v>
      </c>
      <c r="G111" s="40">
        <f>'Africa 2018'!$D12/('Africa 2018'!$L12-'Africa 2018'!$J12-'Africa 2018'!$G12-'Africa 2018'!$H12)</f>
        <v>0.1113702771738786</v>
      </c>
      <c r="H111" s="77">
        <f t="shared" si="1"/>
        <v>0.1113702771738786</v>
      </c>
      <c r="I111" s="77">
        <f t="shared" si="1"/>
        <v>0.1113702771738786</v>
      </c>
    </row>
    <row r="112" spans="1:9" x14ac:dyDescent="0.35">
      <c r="A112" s="30" t="s">
        <v>241</v>
      </c>
      <c r="B112" s="40">
        <f>'Africa 1995'!$E12/('Africa 1995'!$L12-'Africa 1995'!$J12-'Africa 1995'!$G12-'Africa 1995'!$H12)</f>
        <v>0.20227563384181313</v>
      </c>
      <c r="C112" s="40">
        <f>'Africa 2000'!$E12/('Africa 2000'!$L12-'Africa 2000'!$J12-'Africa 2000'!$G12-'Africa 2000'!$H12)</f>
        <v>0.24699776447195479</v>
      </c>
      <c r="D112" s="40">
        <f>'Africa 2005'!$E12/('Africa 2005'!$L12-'Africa 2005'!$J12-'Africa 2005'!$G12-'Africa 2005'!$H12)</f>
        <v>0.31291640955472683</v>
      </c>
      <c r="E112" s="40">
        <f>'Africa 2010'!$E12/('Africa 2010'!$L12-'Africa 2010'!$J12-'Africa 2010'!$G12-'Africa 2010'!$H12)</f>
        <v>0.33501823192223079</v>
      </c>
      <c r="F112" s="40">
        <f>'Africa 2015'!$E12/('Africa 2015'!$L12-'Africa 2015'!$J12-'Africa 2015'!$G12-'Africa 2015'!$H12)</f>
        <v>0.38463771941401609</v>
      </c>
      <c r="G112" s="40">
        <f>'Africa 2018'!$E12/('Africa 2018'!$L12-'Africa 2018'!$J12-'Africa 2018'!$G12-'Africa 2018'!$H12)</f>
        <v>0.44321833543553629</v>
      </c>
      <c r="H112" s="77">
        <f t="shared" si="1"/>
        <v>0.44321833543553629</v>
      </c>
      <c r="I112" s="77">
        <f t="shared" si="1"/>
        <v>0.44321833543553629</v>
      </c>
    </row>
    <row r="113" spans="1:11" x14ac:dyDescent="0.35">
      <c r="A113" s="30" t="s">
        <v>180</v>
      </c>
      <c r="B113" s="40">
        <f>'Africa 1995'!$F12/('Africa 1995'!$L12-'Africa 1995'!$J12-'Africa 1995'!$G12-'Africa 1995'!$H12)</f>
        <v>3.8828167231400056E-2</v>
      </c>
      <c r="C113" s="40">
        <f>'Africa 2000'!$F12/('Africa 2000'!$L12-'Africa 2000'!$J12-'Africa 2000'!$G12-'Africa 2000'!$H12)</f>
        <v>3.8082613433389124E-2</v>
      </c>
      <c r="D113" s="40">
        <f>'Africa 2005'!$F12/('Africa 2005'!$L12-'Africa 2005'!$J12-'Africa 2005'!$G12-'Africa 2005'!$H12)</f>
        <v>2.6310376590740394E-2</v>
      </c>
      <c r="E113" s="40">
        <f>'Africa 2010'!$F12/('Africa 2010'!$L12-'Africa 2010'!$J12-'Africa 2010'!$G12-'Africa 2010'!$H12)</f>
        <v>2.4002192398163865E-2</v>
      </c>
      <c r="F113" s="40">
        <f>'Africa 2015'!$F12/('Africa 2015'!$L12-'Africa 2015'!$J12-'Africa 2015'!$G12-'Africa 2015'!$H12)</f>
        <v>2.1037349874620564E-2</v>
      </c>
      <c r="G113" s="40">
        <f>'Africa 2018'!$F12/('Africa 2018'!$L12-'Africa 2018'!$J12-'Africa 2018'!$G12-'Africa 2018'!$H12)</f>
        <v>1.912265245197153E-2</v>
      </c>
      <c r="H113" s="77">
        <f t="shared" si="1"/>
        <v>1.912265245197153E-2</v>
      </c>
      <c r="I113" s="77">
        <f t="shared" si="1"/>
        <v>1.912265245197153E-2</v>
      </c>
    </row>
    <row r="114" spans="1:11" x14ac:dyDescent="0.35">
      <c r="A114" s="30" t="s">
        <v>146</v>
      </c>
      <c r="B114" s="40">
        <f>'Africa 1995'!$I12/('Africa 1995'!$L12-'Africa 1995'!$J12-'Africa 1995'!$G12-'Africa 1995'!$H12)</f>
        <v>2.2545387424683901E-3</v>
      </c>
      <c r="C114" s="40">
        <f>'Africa 2000'!$I12/('Africa 2000'!$L12-'Africa 2000'!$J12-'Africa 2000'!$G12-'Africa 2000'!$H12)</f>
        <v>4.2800813327791322E-3</v>
      </c>
      <c r="D114" s="40">
        <f>'Africa 2005'!$I12/('Africa 2005'!$L12-'Africa 2005'!$J12-'Africa 2005'!$G12-'Africa 2005'!$H12)</f>
        <v>3.7024119335712178E-3</v>
      </c>
      <c r="E114" s="40">
        <f>'Africa 2010'!$I12/('Africa 2010'!$L12-'Africa 2010'!$J12-'Africa 2010'!$G12-'Africa 2010'!$H12)</f>
        <v>4.7958709834580509E-3</v>
      </c>
      <c r="F114" s="40">
        <f>'Africa 2015'!$I12/('Africa 2015'!$L12-'Africa 2015'!$J12-'Africa 2015'!$G12-'Africa 2015'!$H12)</f>
        <v>5.0151775108882145E-3</v>
      </c>
      <c r="G114" s="40">
        <f>'Africa 2018'!$I12/('Africa 2018'!$L12-'Africa 2018'!$J12-'Africa 2018'!$G12-'Africa 2018'!$H12)</f>
        <v>5.1657148652160412E-3</v>
      </c>
      <c r="H114" s="77">
        <f t="shared" si="1"/>
        <v>5.1657148652160412E-3</v>
      </c>
      <c r="I114" s="77">
        <f t="shared" si="1"/>
        <v>5.1657148652160412E-3</v>
      </c>
    </row>
    <row r="115" spans="1:11" x14ac:dyDescent="0.35">
      <c r="A115" s="32" t="s">
        <v>181</v>
      </c>
      <c r="B115" s="82"/>
      <c r="C115" s="82"/>
      <c r="D115" s="82"/>
      <c r="E115" s="82"/>
      <c r="F115" s="82"/>
      <c r="G115" s="82"/>
      <c r="H115" s="42"/>
      <c r="I115" s="42"/>
    </row>
    <row r="116" spans="1:11" x14ac:dyDescent="0.35">
      <c r="A116" s="30" t="s">
        <v>141</v>
      </c>
      <c r="B116" s="40">
        <f>'Africa 1995'!$B13/IF(('Africa 1995'!$L13-'Africa 1995'!$J13-'Africa 1995'!$K13-'Africa 1995'!$G13-'Africa 1995'!$H13)=0,1,('Africa 1995'!$L13-'Africa 1995'!$J13-'Africa 1995'!$K13-'Africa 1995'!$G13-'Africa 1995'!$H13))</f>
        <v>0</v>
      </c>
      <c r="C116" s="40">
        <f>'Africa 2000'!$B13/IF(('Africa 2000'!$L13-'Africa 2000'!$J13-'Africa 2000'!$K13-'Africa 2000'!$G13-'Africa 2000'!$H13)=0,1,('Africa 2000'!$L13-'Africa 2000'!$J13-'Africa 2000'!$K13-'Africa 2000'!$G13-'Africa 2000'!$H13))</f>
        <v>0</v>
      </c>
      <c r="D116" s="40">
        <f>'Africa 2005'!$B13/IF(('Africa 2005'!$L13-'Africa 2005'!$J13-'Africa 2005'!$K13-'Africa 2005'!$G13-'Africa 2005'!$H13)=0,1,('Africa 2005'!$L13-'Africa 2005'!$J13-'Africa 2005'!$K13-'Africa 2005'!$G13-'Africa 2005'!$H13))</f>
        <v>0</v>
      </c>
      <c r="E116" s="40">
        <f>'Africa 2010'!$B13/IF(('Africa 2010'!$L13-'Africa 2010'!$J13-'Africa 2010'!$K13-'Africa 2010'!$G13-'Africa 2010'!$H13)=0,1,('Africa 2010'!$L13-'Africa 2010'!$J13-'Africa 2010'!$K13-'Africa 2010'!$G13-'Africa 2010'!$H13))</f>
        <v>0</v>
      </c>
      <c r="F116" s="40">
        <f>'Africa 2015'!$B13/IF(('Africa 2015'!$L13-'Africa 2015'!$J13-'Africa 2015'!$K13-'Africa 2015'!$G13-'Africa 2015'!$H13)=0,1,('Africa 2015'!$L13-'Africa 2015'!$J13-'Africa 2015'!$K13-'Africa 2015'!$G13-'Africa 2015'!$H13))</f>
        <v>0</v>
      </c>
      <c r="G116" s="40">
        <f>'Africa 2018'!$B13/IF(('Africa 2018'!$L13-'Africa 2018'!$J13-'Africa 2018'!$K13-'Africa 2018'!$G13-'Africa 2018'!$H13)=0,1,('Africa 2018'!$L13-'Africa 2018'!$J13-'Africa 2018'!$K13-'Africa 2018'!$G13-'Africa 2018'!$H13))</f>
        <v>0</v>
      </c>
      <c r="H116" s="89">
        <f>1-H117-H118-H119-H120-H121</f>
        <v>-2.5188916876575096E-3</v>
      </c>
      <c r="I116" s="89">
        <f>1-I117-I118-I119-I120-I121</f>
        <v>-2.5188916876575096E-3</v>
      </c>
    </row>
    <row r="117" spans="1:11" x14ac:dyDescent="0.35">
      <c r="A117" s="30" t="s">
        <v>142</v>
      </c>
      <c r="B117" s="40">
        <f>'Africa 1995'!$C13/IF(('Africa 1995'!$L13-'Africa 1995'!$J13-'Africa 1995'!$K13-'Africa 1995'!$G13-'Africa 1995'!$H13)=0,1,('Africa 1995'!$L13-'Africa 1995'!$J13-'Africa 1995'!$K13-'Africa 1995'!$G13-'Africa 1995'!$H13))</f>
        <v>0</v>
      </c>
      <c r="C117" s="40">
        <f>'Africa 2000'!$C13/IF(('Africa 2000'!$L13-'Africa 2000'!$J13-'Africa 2000'!$K13-'Africa 2000'!$G13-'Africa 2000'!$H13)=0,1,('Africa 2000'!$L13-'Africa 2000'!$J13-'Africa 2000'!$K13-'Africa 2000'!$G13-'Africa 2000'!$H13))</f>
        <v>0</v>
      </c>
      <c r="D117" s="40">
        <f>'Africa 2005'!$C13/IF(('Africa 2005'!$L13-'Africa 2005'!$J13-'Africa 2005'!$K13-'Africa 2005'!$G13-'Africa 2005'!$H13)=0,1,('Africa 2005'!$L13-'Africa 2005'!$J13-'Africa 2005'!$K13-'Africa 2005'!$G13-'Africa 2005'!$H13))</f>
        <v>0</v>
      </c>
      <c r="E117" s="40">
        <f>'Africa 2010'!$C13/IF(('Africa 2010'!$L13-'Africa 2010'!$J13-'Africa 2010'!$K13-'Africa 2010'!$G13-'Africa 2010'!$H13)=0,1,('Africa 2010'!$L13-'Africa 2010'!$J13-'Africa 2010'!$K13-'Africa 2010'!$G13-'Africa 2010'!$H13))</f>
        <v>0</v>
      </c>
      <c r="F117" s="40">
        <f>'Africa 2015'!$C13/IF(('Africa 2015'!$L13-'Africa 2015'!$J13-'Africa 2015'!$K13-'Africa 2015'!$G13-'Africa 2015'!$H13)=0,1,('Africa 2015'!$L13-'Africa 2015'!$J13-'Africa 2015'!$K13-'Africa 2015'!$G13-'Africa 2015'!$H13))</f>
        <v>0</v>
      </c>
      <c r="G117" s="40">
        <f>'Africa 2018'!$C13/IF(('Africa 2018'!$L13-'Africa 2018'!$J13-'Africa 2018'!$K13-'Africa 2018'!$G13-'Africa 2018'!$H13)=0,1,('Africa 2018'!$L13-'Africa 2018'!$J13-'Africa 2018'!$K13-'Africa 2018'!$G13-'Africa 2018'!$H13))</f>
        <v>0</v>
      </c>
      <c r="H117" s="77">
        <f t="shared" si="1"/>
        <v>0</v>
      </c>
      <c r="I117" s="77">
        <f t="shared" si="1"/>
        <v>0</v>
      </c>
    </row>
    <row r="118" spans="1:11" x14ac:dyDescent="0.35">
      <c r="A118" s="30" t="s">
        <v>143</v>
      </c>
      <c r="B118" s="40">
        <f>'Africa 1995'!$D13/IF('Africa 1995'!$L13-'Africa 1995'!$J13-'Africa 1995'!$K13-'Africa 1995'!$G13-'Africa 1995'!$H13=0,1,('Africa 1995'!$L13-'Africa 1995'!$J13-'Africa 1995'!$K13-'Africa 1995'!$G13-'Africa 1995'!$H13))</f>
        <v>0</v>
      </c>
      <c r="C118" s="40">
        <f>'Africa 2000'!$D13/IF('Africa 2000'!$L13-'Africa 2000'!$J13-'Africa 2000'!$K13-'Africa 2000'!$G13-'Africa 2000'!$H13=0,1,('Africa 2000'!$L13-'Africa 2000'!$J13-'Africa 2000'!$K13-'Africa 2000'!$G13-'Africa 2000'!$H13))</f>
        <v>0</v>
      </c>
      <c r="D118" s="40">
        <f>'Africa 2005'!$D13/IF('Africa 2005'!$L13-'Africa 2005'!$J13-'Africa 2005'!$K13-'Africa 2005'!$G13-'Africa 2005'!$H13=0,1,('Africa 2005'!$L13-'Africa 2005'!$J13-'Africa 2005'!$K13-'Africa 2005'!$G13-'Africa 2005'!$H13))</f>
        <v>0</v>
      </c>
      <c r="E118" s="40">
        <f>'Africa 2010'!$D13/IF('Africa 2010'!$L13-'Africa 2010'!$J13-'Africa 2010'!$K13-'Africa 2010'!$G13-'Africa 2010'!$H13=0,1,('Africa 2010'!$L13-'Africa 2010'!$J13-'Africa 2010'!$K13-'Africa 2010'!$G13-'Africa 2010'!$H13))</f>
        <v>0</v>
      </c>
      <c r="F118" s="40">
        <f>'Africa 2015'!$D13/IF('Africa 2015'!$L13-'Africa 2015'!$J13-'Africa 2015'!$K13-'Africa 2015'!$G13-'Africa 2015'!$H13=0,1,('Africa 2015'!$L13-'Africa 2015'!$J13-'Africa 2015'!$K13-'Africa 2015'!$G13-'Africa 2015'!$H13))</f>
        <v>0</v>
      </c>
      <c r="G118" s="40">
        <f>'Africa 2018'!$D13/IF('Africa 2018'!$L13-'Africa 2018'!$J13-'Africa 2018'!$K13-'Africa 2018'!$G13-'Africa 2018'!$H13=0,1,('Africa 2018'!$L13-'Africa 2018'!$J13-'Africa 2018'!$K13-'Africa 2018'!$G13-'Africa 2018'!$H13))</f>
        <v>0</v>
      </c>
      <c r="H118" s="77">
        <f t="shared" si="1"/>
        <v>0</v>
      </c>
      <c r="I118" s="77">
        <f t="shared" si="1"/>
        <v>0</v>
      </c>
    </row>
    <row r="119" spans="1:11" x14ac:dyDescent="0.35">
      <c r="A119" s="30" t="s">
        <v>241</v>
      </c>
      <c r="B119" s="40">
        <f>'Africa 1995'!$E13/IF(('Africa 1995'!$L13-'Africa 1995'!$J13-'Africa 1995'!$K13-'Africa 1995'!$G13-'Africa 1995'!$H13)=0,1,('Africa 1995'!$L13-'Africa 1995'!$J13-'Africa 1995'!$K13-'Africa 1995'!$G13-'Africa 1995'!$H13))</f>
        <v>0</v>
      </c>
      <c r="C119" s="40">
        <f>'Africa 2000'!$E13/IF(('Africa 2000'!$L13-'Africa 2000'!$J13-'Africa 2000'!$K13-'Africa 2000'!$G13-'Africa 2000'!$H13)=0,1,('Africa 2000'!$L13-'Africa 2000'!$J13-'Africa 2000'!$K13-'Africa 2000'!$G13-'Africa 2000'!$H13))</f>
        <v>0</v>
      </c>
      <c r="D119" s="40">
        <f>'Africa 2005'!$E13/IF(('Africa 2005'!$L13-'Africa 2005'!$J13-'Africa 2005'!$K13-'Africa 2005'!$G13-'Africa 2005'!$H13)=0,1,('Africa 2005'!$L13-'Africa 2005'!$J13-'Africa 2005'!$K13-'Africa 2005'!$G13-'Africa 2005'!$H13))</f>
        <v>0</v>
      </c>
      <c r="E119" s="40">
        <f>'Africa 2010'!$E13/IF(('Africa 2010'!$L13-'Africa 2010'!$J13-'Africa 2010'!$K13-'Africa 2010'!$G13-'Africa 2010'!$H13)=0,1,('Africa 2010'!$L13-'Africa 2010'!$J13-'Africa 2010'!$K13-'Africa 2010'!$G13-'Africa 2010'!$H13))</f>
        <v>1</v>
      </c>
      <c r="F119" s="40">
        <f>'Africa 2015'!$E13/IF(('Africa 2015'!$L13-'Africa 2015'!$J13-'Africa 2015'!$K13-'Africa 2015'!$G13-'Africa 2015'!$H13)=0,1,('Africa 2015'!$L13-'Africa 2015'!$J13-'Africa 2015'!$K13-'Africa 2015'!$G13-'Africa 2015'!$H13))</f>
        <v>7.0422535211267609E-2</v>
      </c>
      <c r="G119" s="40">
        <f>'Africa 2018'!$E13/IF(('Africa 2018'!$L13-'Africa 2018'!$J13-'Africa 2018'!$K13-'Africa 2018'!$G13-'Africa 2018'!$H13)=0,1,('Africa 2018'!$L13-'Africa 2018'!$J13-'Africa 2018'!$K13-'Africa 2018'!$G13-'Africa 2018'!$H13))</f>
        <v>0.12846347607052896</v>
      </c>
      <c r="H119" s="77">
        <f t="shared" si="1"/>
        <v>0.12846347607052896</v>
      </c>
      <c r="I119" s="77">
        <f t="shared" si="1"/>
        <v>0.12846347607052896</v>
      </c>
    </row>
    <row r="120" spans="1:11" x14ac:dyDescent="0.35">
      <c r="A120" s="30" t="s">
        <v>180</v>
      </c>
      <c r="B120" s="40">
        <f>'Africa 1995'!$F13/IF(('Africa 1995'!$L13-'Africa 1995'!$J13-'Africa 1995'!$K13-'Africa 1995'!$G13-'Africa 1995'!$H13)=0,1,('Africa 1995'!$L13-'Africa 1995'!$J13-'Africa 1995'!$K13-'Africa 1995'!$G13-'Africa 1995'!$H13))</f>
        <v>0</v>
      </c>
      <c r="C120" s="40">
        <f>'Africa 2000'!$F13/IF(('Africa 2000'!$L13-'Africa 2000'!$J13-'Africa 2000'!$K13-'Africa 2000'!$G13-'Africa 2000'!$H13)=0,1,('Africa 2000'!$L13-'Africa 2000'!$J13-'Africa 2000'!$K13-'Africa 2000'!$G13-'Africa 2000'!$H13))</f>
        <v>0</v>
      </c>
      <c r="D120" s="40">
        <f>'Africa 2005'!$F13/IF(('Africa 2005'!$L13-'Africa 2005'!$J13-'Africa 2005'!$K13-'Africa 2005'!$G13-'Africa 2005'!$H13)=0,1,('Africa 2005'!$L13-'Africa 2005'!$J13-'Africa 2005'!$K13-'Africa 2005'!$G13-'Africa 2005'!$H13))</f>
        <v>0</v>
      </c>
      <c r="E120" s="40">
        <f>'Africa 2010'!$F13/IF(('Africa 2010'!$L13-'Africa 2010'!$J13-'Africa 2010'!$K13-'Africa 2010'!$G13-'Africa 2010'!$H13)=0,1,('Africa 2010'!$L13-'Africa 2010'!$J13-'Africa 2010'!$K13-'Africa 2010'!$G13-'Africa 2010'!$H13))</f>
        <v>0</v>
      </c>
      <c r="F120" s="40">
        <f>'Africa 2015'!$F13/IF(('Africa 2015'!$L13-'Africa 2015'!$J13-'Africa 2015'!$K13-'Africa 2015'!$G13-'Africa 2015'!$H13)=0,1,('Africa 2015'!$L13-'Africa 2015'!$J13-'Africa 2015'!$K13-'Africa 2015'!$G13-'Africa 2015'!$H13))</f>
        <v>0</v>
      </c>
      <c r="G120" s="40">
        <f>'Africa 2018'!$F13/IF(('Africa 2018'!$L13-'Africa 2018'!$J13-'Africa 2018'!$K13-'Africa 2018'!$G13-'Africa 2018'!$H13)=0,1,('Africa 2018'!$L13-'Africa 2018'!$J13-'Africa 2018'!$K13-'Africa 2018'!$G13-'Africa 2018'!$H13))</f>
        <v>0</v>
      </c>
      <c r="H120" s="77">
        <f t="shared" si="1"/>
        <v>0</v>
      </c>
      <c r="I120" s="77">
        <f t="shared" si="1"/>
        <v>0</v>
      </c>
    </row>
    <row r="121" spans="1:11" x14ac:dyDescent="0.35">
      <c r="A121" s="30" t="s">
        <v>146</v>
      </c>
      <c r="B121" s="40">
        <f>'Africa 1995'!$I13/IF(('Africa 1995'!$L13-'Africa 1995'!$J13-'Africa 1995'!$K13-'Africa 1995'!$G13-'Africa 1995'!$H13)=0,1,('Africa 1995'!$L13-'Africa 1995'!$J13-'Africa 1995'!$K13-'Africa 1995'!$G13-'Africa 1995'!$H13))</f>
        <v>0</v>
      </c>
      <c r="C121" s="40">
        <f>'Africa 2000'!$I13/IF(('Africa 2000'!$L13-'Africa 2000'!$J13-'Africa 2000'!$K13-'Africa 2000'!$G13-'Africa 2000'!$H13)=0,1,('Africa 2000'!$L13-'Africa 2000'!$J13-'Africa 2000'!$K13-'Africa 2000'!$G13-'Africa 2000'!$H13))</f>
        <v>0</v>
      </c>
      <c r="D121" s="40">
        <f>'Africa 2005'!$I13/IF(('Africa 2005'!$L13-'Africa 2005'!$J13-'Africa 2005'!$K13-'Africa 2005'!$G13-'Africa 2005'!$H13)=0,1,('Africa 2005'!$L13-'Africa 2005'!$J13-'Africa 2005'!$K13-'Africa 2005'!$G13-'Africa 2005'!$H13))</f>
        <v>0</v>
      </c>
      <c r="E121" s="40">
        <f>'Africa 2010'!$I13/IF(('Africa 2010'!$L13-'Africa 2010'!$J13-'Africa 2010'!$K13-'Africa 2010'!$G13-'Africa 2010'!$H13)=0,1,('Africa 2010'!$L13-'Africa 2010'!$J13-'Africa 2010'!$K13-'Africa 2010'!$G13-'Africa 2010'!$H13))</f>
        <v>0</v>
      </c>
      <c r="F121" s="40">
        <f>'Africa 2015'!$I13/IF(('Africa 2015'!$L13-'Africa 2015'!$J13-'Africa 2015'!$K13-'Africa 2015'!$G13-'Africa 2015'!$H13)=0,1,('Africa 2015'!$L13-'Africa 2015'!$J13-'Africa 2015'!$K13-'Africa 2015'!$G13-'Africa 2015'!$H13))</f>
        <v>0.92957746478873238</v>
      </c>
      <c r="G121" s="40">
        <f>'Africa 2018'!$I13/IF(('Africa 2018'!$L13-'Africa 2018'!$J13-'Africa 2018'!$K13-'Africa 2018'!$G13-'Africa 2018'!$H13)=0,1,('Africa 2018'!$L13-'Africa 2018'!$J13-'Africa 2018'!$K13-'Africa 2018'!$G13-'Africa 2018'!$H13))</f>
        <v>0.87405541561712852</v>
      </c>
      <c r="H121" s="77">
        <f t="shared" si="1"/>
        <v>0.87405541561712852</v>
      </c>
      <c r="I121" s="77">
        <f t="shared" si="1"/>
        <v>0.87405541561712852</v>
      </c>
    </row>
    <row r="122" spans="1:11" x14ac:dyDescent="0.35">
      <c r="A122" s="32" t="s">
        <v>182</v>
      </c>
      <c r="B122" s="82"/>
      <c r="C122" s="82"/>
      <c r="D122" s="82"/>
      <c r="E122" s="82"/>
      <c r="F122" s="82"/>
      <c r="G122" s="82"/>
      <c r="H122" s="42"/>
      <c r="I122" s="42"/>
    </row>
    <row r="123" spans="1:11" x14ac:dyDescent="0.35">
      <c r="A123" s="30" t="s">
        <v>141</v>
      </c>
      <c r="B123" s="40">
        <f>'Africa 1995'!$B14/IF(('Africa 1995'!$L14-'Africa 1995'!$J14-'Africa 1995'!$K14-'Africa 1995'!$G14-'Africa 1995'!$H14)=0,1,('Africa 1995'!$L14-'Africa 1995'!$J14-'Africa 1995'!$K14-'Africa 1995'!$G14-'Africa 1995'!$H14))</f>
        <v>0</v>
      </c>
      <c r="C123" s="40">
        <f>'Africa 2000'!$B14/IF(('Africa 2000'!$L14-'Africa 2000'!$J14-'Africa 2000'!$K14-'Africa 2000'!$G14-'Africa 2000'!$H14)=0,1,('Africa 2000'!$L14-'Africa 2000'!$J14-'Africa 2000'!$K14-'Africa 2000'!$G14-'Africa 2000'!$H14))</f>
        <v>0</v>
      </c>
      <c r="D123" s="40">
        <f>'Africa 2005'!$B14/IF(('Africa 2005'!$L14-'Africa 2005'!$J14-'Africa 2005'!$K14-'Africa 2005'!$G14-'Africa 2005'!$H14)=0,1,('Africa 2005'!$L14-'Africa 2005'!$J14-'Africa 2005'!$K14-'Africa 2005'!$G14-'Africa 2005'!$H14))</f>
        <v>0</v>
      </c>
      <c r="E123" s="40">
        <f>'Africa 2010'!$B14/IF(('Africa 2010'!$L14-'Africa 2010'!$J14-'Africa 2010'!$K14-'Africa 2010'!$G14-'Africa 2010'!$H14)=0,1,('Africa 2010'!$L14-'Africa 2010'!$J14-'Africa 2010'!$K14-'Africa 2010'!$G14-'Africa 2010'!$H14))</f>
        <v>0</v>
      </c>
      <c r="F123" s="40">
        <f>'Africa 2015'!$B14/IF(('Africa 2015'!$L14-'Africa 2015'!$J14-'Africa 2015'!$K14-'Africa 2015'!$G14-'Africa 2015'!$H14)=0,1,('Africa 2015'!$L14-'Africa 2015'!$J14-'Africa 2015'!$K14-'Africa 2015'!$G14-'Africa 2015'!$H14))</f>
        <v>0</v>
      </c>
      <c r="G123" s="40">
        <f>'Africa 2018'!$B14/IF(('Africa 2018'!$L14-'Africa 2018'!$J14-'Africa 2018'!$K14-'Africa 2018'!$G14-'Africa 2018'!$H14)=0,1,('Africa 2018'!$L14-'Africa 2018'!$J14-'Africa 2018'!$K14-'Africa 2018'!$G14-'Africa 2018'!$H14))</f>
        <v>0</v>
      </c>
      <c r="H123" s="77">
        <f t="shared" si="1"/>
        <v>0</v>
      </c>
      <c r="I123" s="77">
        <f t="shared" si="1"/>
        <v>0</v>
      </c>
    </row>
    <row r="124" spans="1:11" x14ac:dyDescent="0.35">
      <c r="A124" s="30" t="s">
        <v>142</v>
      </c>
      <c r="B124" s="40">
        <f>'Africa 1995'!$C14/IF(('Africa 1995'!$L14-'Africa 1995'!$J14-'Africa 1995'!$K14-'Africa 1995'!$G14-'Africa 1995'!$H14)=0,1,('Africa 1995'!$L14-'Africa 1995'!$J14-'Africa 1995'!$K14-'Africa 1995'!$G14-'Africa 1995'!$H14))</f>
        <v>0</v>
      </c>
      <c r="C124" s="40">
        <f>'Africa 2000'!$C14/IF(('Africa 2000'!$L14-'Africa 2000'!$J14-'Africa 2000'!$K14-'Africa 2000'!$G14-'Africa 2000'!$H14)=0,1,('Africa 2000'!$L14-'Africa 2000'!$J14-'Africa 2000'!$K14-'Africa 2000'!$G14-'Africa 2000'!$H14))</f>
        <v>0</v>
      </c>
      <c r="D124" s="40">
        <f>'Africa 2005'!$C14/IF(('Africa 2005'!$L14-'Africa 2005'!$J14-'Africa 2005'!$K14-'Africa 2005'!$G14-'Africa 2005'!$H14)=0,1,('Africa 2005'!$L14-'Africa 2005'!$J14-'Africa 2005'!$K14-'Africa 2005'!$G14-'Africa 2005'!$H14))</f>
        <v>0</v>
      </c>
      <c r="E124" s="40">
        <f>'Africa 2010'!$C14/IF(('Africa 2010'!$L14-'Africa 2010'!$J14-'Africa 2010'!$K14-'Africa 2010'!$G14-'Africa 2010'!$H14)=0,1,('Africa 2010'!$L14-'Africa 2010'!$J14-'Africa 2010'!$K14-'Africa 2010'!$G14-'Africa 2010'!$H14))</f>
        <v>0</v>
      </c>
      <c r="F124" s="40">
        <f>'Africa 2015'!$C14/IF(('Africa 2015'!$L14-'Africa 2015'!$J14-'Africa 2015'!$K14-'Africa 2015'!$G14-'Africa 2015'!$H14)=0,1,('Africa 2015'!$L14-'Africa 2015'!$J14-'Africa 2015'!$K14-'Africa 2015'!$G14-'Africa 2015'!$H14))</f>
        <v>0</v>
      </c>
      <c r="G124" s="40">
        <f>'Africa 2018'!$C14/IF(('Africa 2018'!$L14-'Africa 2018'!$J14-'Africa 2018'!$K14-'Africa 2018'!$G14-'Africa 2018'!$H14)=0,1,('Africa 2018'!$L14-'Africa 2018'!$J14-'Africa 2018'!$K14-'Africa 2018'!$G14-'Africa 2018'!$H14))</f>
        <v>0</v>
      </c>
      <c r="H124" s="77">
        <f t="shared" si="1"/>
        <v>0</v>
      </c>
      <c r="I124" s="77">
        <f t="shared" si="1"/>
        <v>0</v>
      </c>
    </row>
    <row r="125" spans="1:11" x14ac:dyDescent="0.35">
      <c r="A125" s="30" t="s">
        <v>143</v>
      </c>
      <c r="B125" s="40">
        <f>'Africa 1995'!$D14/IF(('Africa 1995'!$L14-'Africa 1995'!$J14-'Africa 1995'!$K14-'Africa 1995'!$G14-'Africa 1995'!$H14)=0,1,('Africa 1995'!$L14-'Africa 1995'!$J14-'Africa 1995'!$K14-'Africa 1995'!$G14-'Africa 1995'!$H14))</f>
        <v>0</v>
      </c>
      <c r="C125" s="40">
        <f>'Africa 2000'!$D14/IF(('Africa 2000'!$L14-'Africa 2000'!$J14-'Africa 2000'!$K14-'Africa 2000'!$G14-'Africa 2000'!$H14)=0,1,('Africa 2000'!$L14-'Africa 2000'!$J14-'Africa 2000'!$K14-'Africa 2000'!$G14-'Africa 2000'!$H14))</f>
        <v>0</v>
      </c>
      <c r="D125" s="40">
        <f>'Africa 2005'!$D14/IF(('Africa 2005'!$L14-'Africa 2005'!$J14-'Africa 2005'!$K14-'Africa 2005'!$G14-'Africa 2005'!$H14)=0,1,('Africa 2005'!$L14-'Africa 2005'!$J14-'Africa 2005'!$K14-'Africa 2005'!$G14-'Africa 2005'!$H14))</f>
        <v>0</v>
      </c>
      <c r="E125" s="40">
        <f>'Africa 2010'!$D14/IF(('Africa 2010'!$L14-'Africa 2010'!$J14-'Africa 2010'!$K14-'Africa 2010'!$G14-'Africa 2010'!$H14)=0,1,('Africa 2010'!$L14-'Africa 2010'!$J14-'Africa 2010'!$K14-'Africa 2010'!$G14-'Africa 2010'!$H14))</f>
        <v>0</v>
      </c>
      <c r="F125" s="40">
        <f>'Africa 2015'!$D14/IF(('Africa 2015'!$L14-'Africa 2015'!$J14-'Africa 2015'!$K14-'Africa 2015'!$G14-'Africa 2015'!$H14)=0,1,('Africa 2015'!$L14-'Africa 2015'!$J14-'Africa 2015'!$K14-'Africa 2015'!$G14-'Africa 2015'!$H14))</f>
        <v>0</v>
      </c>
      <c r="G125" s="40">
        <f>'Africa 2018'!$D14/IF(('Africa 2018'!$L14-'Africa 2018'!$J14-'Africa 2018'!$K14-'Africa 2018'!$G14-'Africa 2018'!$H14)=0,1,('Africa 2018'!$L14-'Africa 2018'!$J14-'Africa 2018'!$K14-'Africa 2018'!$G14-'Africa 2018'!$H14))</f>
        <v>0</v>
      </c>
      <c r="H125" s="77">
        <f t="shared" si="1"/>
        <v>0</v>
      </c>
      <c r="I125" s="77">
        <f t="shared" si="1"/>
        <v>0</v>
      </c>
    </row>
    <row r="126" spans="1:11" x14ac:dyDescent="0.35">
      <c r="A126" s="30" t="s">
        <v>241</v>
      </c>
      <c r="B126" s="40">
        <f>'Africa 1995'!$E14/IF(('Africa 1995'!$L14-'Africa 1995'!$J14-'Africa 1995'!$K14-'Africa 1995'!$G14-'Africa 1995'!$H14)=0,1,('Africa 1995'!$L14-'Africa 1995'!$J14-'Africa 1995'!$K14-'Africa 1995'!$G14-'Africa 1995'!$H14))</f>
        <v>0</v>
      </c>
      <c r="C126" s="40">
        <f>'Africa 2000'!$E14/IF(('Africa 2000'!$L14-'Africa 2000'!$J14-'Africa 2000'!$K14-'Africa 2000'!$G14-'Africa 2000'!$H14)=0,1,('Africa 2000'!$L14-'Africa 2000'!$J14-'Africa 2000'!$K14-'Africa 2000'!$G14-'Africa 2000'!$H14))</f>
        <v>0</v>
      </c>
      <c r="D126" s="40">
        <f>'Africa 2005'!$E14/IF(('Africa 2005'!$L14-'Africa 2005'!$J14-'Africa 2005'!$K14-'Africa 2005'!$G14-'Africa 2005'!$H14)=0,1,('Africa 2005'!$L14-'Africa 2005'!$J14-'Africa 2005'!$K14-'Africa 2005'!$G14-'Africa 2005'!$H14))</f>
        <v>0</v>
      </c>
      <c r="E126" s="40">
        <f>'Africa 2010'!$E14/IF(('Africa 2010'!$L14-'Africa 2010'!$J14-'Africa 2010'!$K14-'Africa 2010'!$G14-'Africa 2010'!$H14)=0,1,('Africa 2010'!$L14-'Africa 2010'!$J14-'Africa 2010'!$K14-'Africa 2010'!$G14-'Africa 2010'!$H14))</f>
        <v>0</v>
      </c>
      <c r="F126" s="40">
        <f>'Africa 2015'!$E14/IF(('Africa 2015'!$L14-'Africa 2015'!$J14-'Africa 2015'!$K14-'Africa 2015'!$G14-'Africa 2015'!$H14)=0,1,('Africa 2015'!$L14-'Africa 2015'!$J14-'Africa 2015'!$K14-'Africa 2015'!$G14-'Africa 2015'!$H14))</f>
        <v>0</v>
      </c>
      <c r="G126" s="40">
        <f>'Africa 2018'!$E14/IF(('Africa 2018'!$L14-'Africa 2018'!$J14-'Africa 2018'!$K14-'Africa 2018'!$G14-'Africa 2018'!$H14)=0,1,('Africa 2018'!$L14-'Africa 2018'!$J14-'Africa 2018'!$K14-'Africa 2018'!$G14-'Africa 2018'!$H14))</f>
        <v>0</v>
      </c>
      <c r="H126" s="89">
        <f>1-H123-H124-H125-H127-H128</f>
        <v>1</v>
      </c>
      <c r="I126" s="89">
        <f>1-I123-I124-I125-I127-I128</f>
        <v>1</v>
      </c>
    </row>
    <row r="127" spans="1:11" x14ac:dyDescent="0.35">
      <c r="A127" s="30" t="s">
        <v>180</v>
      </c>
      <c r="B127" s="40">
        <f>'Africa 1995'!$F14/IF(('Africa 1995'!$L14-'Africa 1995'!$J14-'Africa 1995'!$K14-'Africa 1995'!$G14-'Africa 1995'!$H14)=0,1,('Africa 1995'!$L14-'Africa 1995'!$J14-'Africa 1995'!$K14-'Africa 1995'!$G14-'Africa 1995'!$H14))</f>
        <v>0</v>
      </c>
      <c r="C127" s="40">
        <f>'Africa 2000'!$F14/IF(('Africa 2000'!$L14-'Africa 2000'!$J14-'Africa 2000'!$K14-'Africa 2000'!$G14-'Africa 2000'!$H14)=0,1,('Africa 2000'!$L14-'Africa 2000'!$J14-'Africa 2000'!$K14-'Africa 2000'!$G14-'Africa 2000'!$H14))</f>
        <v>0</v>
      </c>
      <c r="D127" s="40">
        <f>'Africa 2005'!$F14/IF(('Africa 2005'!$L14-'Africa 2005'!$J14-'Africa 2005'!$K14-'Africa 2005'!$G14-'Africa 2005'!$H14)=0,1,('Africa 2005'!$L14-'Africa 2005'!$J14-'Africa 2005'!$K14-'Africa 2005'!$G14-'Africa 2005'!$H14))</f>
        <v>0</v>
      </c>
      <c r="E127" s="40">
        <f>'Africa 2010'!$F14/IF(('Africa 2010'!$L14-'Africa 2010'!$J14-'Africa 2010'!$K14-'Africa 2010'!$G14-'Africa 2010'!$H14)=0,1,('Africa 2010'!$L14-'Africa 2010'!$J14-'Africa 2010'!$K14-'Africa 2010'!$G14-'Africa 2010'!$H14))</f>
        <v>0</v>
      </c>
      <c r="F127" s="40">
        <f>'Africa 2015'!$F14/IF(('Africa 2015'!$L14-'Africa 2015'!$J14-'Africa 2015'!$K14-'Africa 2015'!$G14-'Africa 2015'!$H14)=0,1,('Africa 2015'!$L14-'Africa 2015'!$J14-'Africa 2015'!$K14-'Africa 2015'!$G14-'Africa 2015'!$H14))</f>
        <v>0</v>
      </c>
      <c r="G127" s="40">
        <f>'Africa 2018'!$F14/IF(('Africa 2018'!$L14-'Africa 2018'!$J14-'Africa 2018'!$K14-'Africa 2018'!$G14-'Africa 2018'!$H14)=0,1,('Africa 2018'!$L14-'Africa 2018'!$J14-'Africa 2018'!$K14-'Africa 2018'!$G14-'Africa 2018'!$H14))</f>
        <v>0</v>
      </c>
      <c r="H127" s="77">
        <f t="shared" si="1"/>
        <v>0</v>
      </c>
      <c r="I127" s="77">
        <f t="shared" si="1"/>
        <v>0</v>
      </c>
      <c r="K127" s="7"/>
    </row>
    <row r="128" spans="1:11" x14ac:dyDescent="0.35">
      <c r="A128" s="30" t="s">
        <v>146</v>
      </c>
      <c r="B128" s="40">
        <f>'Africa 1995'!$I14/IF(('Africa 1995'!$L14-'Africa 1995'!$J14-'Africa 1995'!$K14-'Africa 1995'!$G14-'Africa 1995'!$H14)=0,1,('Africa 1995'!$L14-'Africa 1995'!$J14-'Africa 1995'!$K14-'Africa 1995'!$G14-'Africa 1995'!$H14))</f>
        <v>0</v>
      </c>
      <c r="C128" s="40">
        <f>'Africa 2000'!$I14/IF(('Africa 2000'!$L14-'Africa 2000'!$J14-'Africa 2000'!$K14-'Africa 2000'!$G14-'Africa 2000'!$H14)=0,1,('Africa 2000'!$L14-'Africa 2000'!$J14-'Africa 2000'!$K14-'Africa 2000'!$G14-'Africa 2000'!$H14))</f>
        <v>0</v>
      </c>
      <c r="D128" s="40">
        <f>'Africa 2005'!$I14/IF(('Africa 2005'!$L14-'Africa 2005'!$J14-'Africa 2005'!$K14-'Africa 2005'!$G14-'Africa 2005'!$H14)=0,1,('Africa 2005'!$L14-'Africa 2005'!$J14-'Africa 2005'!$K14-'Africa 2005'!$G14-'Africa 2005'!$H14))</f>
        <v>0</v>
      </c>
      <c r="E128" s="40">
        <f>'Africa 2010'!$I14/IF(('Africa 2010'!$L14-'Africa 2010'!$J14-'Africa 2010'!$K14-'Africa 2010'!$G14-'Africa 2010'!$H14)=0,1,('Africa 2010'!$L14-'Africa 2010'!$J14-'Africa 2010'!$K14-'Africa 2010'!$G14-'Africa 2010'!$H14))</f>
        <v>0</v>
      </c>
      <c r="F128" s="40">
        <f>'Africa 2015'!$I14/IF(('Africa 2015'!$L14-'Africa 2015'!$J14-'Africa 2015'!$K14-'Africa 2015'!$G14-'Africa 2015'!$H14)=0,1,('Africa 2015'!$L14-'Africa 2015'!$J14-'Africa 2015'!$K14-'Africa 2015'!$G14-'Africa 2015'!$H14))</f>
        <v>0</v>
      </c>
      <c r="G128" s="40">
        <f>'Africa 2018'!$I14/IF(('Africa 2018'!$L14-'Africa 2018'!$J14-'Africa 2018'!$K14-'Africa 2018'!$G14-'Africa 2018'!$H14)=0,1,('Africa 2018'!$L14-'Africa 2018'!$J14-'Africa 2018'!$K14-'Africa 2018'!$G14-'Africa 2018'!$H14))</f>
        <v>0</v>
      </c>
      <c r="H128" s="77">
        <f t="shared" si="1"/>
        <v>0</v>
      </c>
      <c r="I128" s="77">
        <f t="shared" si="1"/>
        <v>0</v>
      </c>
    </row>
    <row r="129" spans="1:9" x14ac:dyDescent="0.35">
      <c r="A129" s="32" t="s">
        <v>183</v>
      </c>
      <c r="B129" s="82"/>
      <c r="C129" s="82"/>
      <c r="D129" s="82"/>
      <c r="E129" s="82"/>
      <c r="F129" s="82"/>
      <c r="G129" s="82"/>
      <c r="H129" s="42"/>
      <c r="I129" s="42"/>
    </row>
    <row r="130" spans="1:9" x14ac:dyDescent="0.35">
      <c r="A130" s="30" t="s">
        <v>142</v>
      </c>
      <c r="B130" s="40">
        <v>1</v>
      </c>
      <c r="C130" s="40">
        <v>1</v>
      </c>
      <c r="D130" s="40">
        <v>1</v>
      </c>
      <c r="E130" s="40">
        <v>1</v>
      </c>
      <c r="F130" s="40">
        <v>1</v>
      </c>
      <c r="G130" s="40">
        <v>1</v>
      </c>
      <c r="H130" s="89">
        <f>1-H131</f>
        <v>1</v>
      </c>
      <c r="I130" s="89">
        <f>1-I131</f>
        <v>1</v>
      </c>
    </row>
    <row r="131" spans="1:9" x14ac:dyDescent="0.35">
      <c r="A131" s="30" t="s">
        <v>146</v>
      </c>
      <c r="B131" s="40">
        <v>0</v>
      </c>
      <c r="C131" s="40">
        <v>0</v>
      </c>
      <c r="D131" s="40">
        <v>0</v>
      </c>
      <c r="E131" s="40">
        <v>0</v>
      </c>
      <c r="F131" s="40">
        <v>0</v>
      </c>
      <c r="G131" s="40">
        <v>0</v>
      </c>
      <c r="H131" s="77">
        <f t="shared" si="1"/>
        <v>0</v>
      </c>
      <c r="I131" s="77">
        <f t="shared" si="1"/>
        <v>0</v>
      </c>
    </row>
    <row r="132" spans="1:9" x14ac:dyDescent="0.35">
      <c r="A132" s="30"/>
      <c r="B132" s="40">
        <v>0</v>
      </c>
      <c r="C132" s="40">
        <v>0</v>
      </c>
      <c r="D132" s="40">
        <v>0</v>
      </c>
      <c r="E132" s="40">
        <v>0</v>
      </c>
      <c r="F132" s="40">
        <v>0</v>
      </c>
      <c r="G132" s="40">
        <v>0</v>
      </c>
      <c r="H132" s="77">
        <f t="shared" si="1"/>
        <v>0</v>
      </c>
      <c r="I132" s="77">
        <f t="shared" si="1"/>
        <v>0</v>
      </c>
    </row>
    <row r="133" spans="1:9" x14ac:dyDescent="0.35">
      <c r="A133" s="32" t="s">
        <v>184</v>
      </c>
      <c r="B133" s="42"/>
      <c r="C133" s="42"/>
      <c r="D133" s="42"/>
      <c r="E133" s="42"/>
      <c r="F133" s="42"/>
      <c r="G133" s="42"/>
      <c r="H133" s="42"/>
      <c r="I133" s="42"/>
    </row>
    <row r="134" spans="1:9" x14ac:dyDescent="0.35">
      <c r="A134" s="30" t="s">
        <v>185</v>
      </c>
      <c r="H134" s="77">
        <v>0</v>
      </c>
      <c r="I134" s="77">
        <v>0</v>
      </c>
    </row>
    <row r="135" spans="1:9" x14ac:dyDescent="0.35">
      <c r="A135" s="30" t="s">
        <v>186</v>
      </c>
      <c r="H135" s="77">
        <v>0</v>
      </c>
      <c r="I135" s="77">
        <v>0</v>
      </c>
    </row>
    <row r="136" spans="1:9" x14ac:dyDescent="0.35">
      <c r="A136" s="30" t="s">
        <v>245</v>
      </c>
      <c r="H136" s="77">
        <v>0</v>
      </c>
      <c r="I136" s="77">
        <v>0</v>
      </c>
    </row>
    <row r="137" spans="1:9" x14ac:dyDescent="0.35">
      <c r="A137" s="30" t="s">
        <v>188</v>
      </c>
      <c r="H137" s="77">
        <v>0</v>
      </c>
      <c r="I137" s="77">
        <v>0</v>
      </c>
    </row>
    <row r="138" spans="1:9" x14ac:dyDescent="0.35">
      <c r="A138" s="32" t="s">
        <v>189</v>
      </c>
      <c r="B138" s="42"/>
      <c r="C138" s="42"/>
      <c r="D138" s="42"/>
      <c r="E138" s="42"/>
      <c r="F138" s="42"/>
      <c r="G138" s="42"/>
      <c r="H138" s="42"/>
      <c r="I138" s="42"/>
    </row>
    <row r="139" spans="1:9" x14ac:dyDescent="0.35">
      <c r="A139" s="30" t="s">
        <v>190</v>
      </c>
      <c r="G139" s="94">
        <v>0.8</v>
      </c>
      <c r="H139" s="93">
        <f>G139</f>
        <v>0.8</v>
      </c>
      <c r="I139" s="77">
        <f t="shared" ref="I139:I142" si="5">H139</f>
        <v>0.8</v>
      </c>
    </row>
    <row r="140" spans="1:9" x14ac:dyDescent="0.35">
      <c r="A140" s="30" t="s">
        <v>191</v>
      </c>
      <c r="G140" s="94">
        <v>0.3</v>
      </c>
      <c r="H140" s="93">
        <f t="shared" ref="H140:H142" si="6">G140</f>
        <v>0.3</v>
      </c>
      <c r="I140" s="77">
        <f t="shared" si="5"/>
        <v>0.3</v>
      </c>
    </row>
    <row r="141" spans="1:9" x14ac:dyDescent="0.35">
      <c r="A141" s="30" t="s">
        <v>192</v>
      </c>
      <c r="G141" s="94">
        <v>0.95</v>
      </c>
      <c r="H141" s="93">
        <f t="shared" si="6"/>
        <v>0.95</v>
      </c>
      <c r="I141" s="77">
        <f t="shared" si="5"/>
        <v>0.95</v>
      </c>
    </row>
    <row r="142" spans="1:9" x14ac:dyDescent="0.35">
      <c r="A142" s="30" t="s">
        <v>193</v>
      </c>
      <c r="G142" s="94">
        <v>1</v>
      </c>
      <c r="H142" s="93">
        <f t="shared" si="6"/>
        <v>1</v>
      </c>
      <c r="I142" s="77">
        <f t="shared" si="5"/>
        <v>1</v>
      </c>
    </row>
  </sheetData>
  <mergeCells count="1">
    <mergeCell ref="B3:I3"/>
  </mergeCells>
  <pageMargins left="0.7" right="0.7" top="0.75" bottom="0.75" header="0.3" footer="0.3"/>
  <pageSetup paperSize="9" orientation="portrait" horizontalDpi="4294967293" verticalDpi="4294967293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Ark9"/>
  <dimension ref="A1:L32"/>
  <sheetViews>
    <sheetView workbookViewId="0">
      <selection activeCell="O34" sqref="O34"/>
    </sheetView>
  </sheetViews>
  <sheetFormatPr defaultRowHeight="14.5" x14ac:dyDescent="0.35"/>
  <cols>
    <col min="1" max="1" width="30" customWidth="1"/>
    <col min="2" max="2" width="11.54296875" customWidth="1"/>
    <col min="3" max="3" width="12" customWidth="1"/>
    <col min="4" max="4" width="14.54296875" customWidth="1"/>
    <col min="5" max="5" width="14.1796875" customWidth="1"/>
    <col min="8" max="8" width="22.81640625" customWidth="1"/>
    <col min="9" max="9" width="21.81640625" customWidth="1"/>
    <col min="10" max="10" width="13.81640625" customWidth="1"/>
    <col min="11" max="11" width="12.26953125" customWidth="1"/>
    <col min="12" max="12" width="11.81640625" customWidth="1"/>
  </cols>
  <sheetData>
    <row r="1" spans="1:12" x14ac:dyDescent="0.35">
      <c r="B1" t="s">
        <v>214</v>
      </c>
      <c r="C1" t="s">
        <v>2</v>
      </c>
      <c r="D1" t="s">
        <v>215</v>
      </c>
      <c r="E1" t="s">
        <v>216</v>
      </c>
      <c r="F1" t="s">
        <v>5</v>
      </c>
      <c r="G1" t="s">
        <v>6</v>
      </c>
      <c r="H1" t="s">
        <v>217</v>
      </c>
      <c r="I1" t="s">
        <v>8</v>
      </c>
      <c r="J1" t="s">
        <v>9</v>
      </c>
      <c r="K1" t="s">
        <v>10</v>
      </c>
      <c r="L1" t="s">
        <v>218</v>
      </c>
    </row>
    <row r="2" spans="1:12" x14ac:dyDescent="0.35">
      <c r="B2" t="s">
        <v>219</v>
      </c>
      <c r="C2" t="s">
        <v>219</v>
      </c>
      <c r="D2" t="s">
        <v>219</v>
      </c>
      <c r="E2" t="s">
        <v>219</v>
      </c>
      <c r="F2" t="s">
        <v>219</v>
      </c>
      <c r="G2" t="s">
        <v>219</v>
      </c>
      <c r="H2" t="s">
        <v>219</v>
      </c>
      <c r="I2" t="s">
        <v>219</v>
      </c>
      <c r="J2" t="s">
        <v>219</v>
      </c>
      <c r="K2" t="s">
        <v>219</v>
      </c>
      <c r="L2" t="s">
        <v>219</v>
      </c>
    </row>
    <row r="3" spans="1:12" x14ac:dyDescent="0.35">
      <c r="A3" t="s">
        <v>17</v>
      </c>
      <c r="B3" s="7">
        <v>122310</v>
      </c>
      <c r="C3" s="7">
        <v>350397</v>
      </c>
      <c r="D3" s="7"/>
      <c r="E3" s="7">
        <v>69032</v>
      </c>
      <c r="F3" s="7">
        <v>2945</v>
      </c>
      <c r="G3" s="7">
        <v>5186</v>
      </c>
      <c r="H3" s="7">
        <v>337</v>
      </c>
      <c r="I3" s="7">
        <v>219505</v>
      </c>
      <c r="J3" s="7"/>
      <c r="K3" s="7"/>
      <c r="L3" s="7">
        <v>769708</v>
      </c>
    </row>
    <row r="4" spans="1:12" x14ac:dyDescent="0.35">
      <c r="A4" t="s">
        <v>220</v>
      </c>
      <c r="B4" s="7">
        <v>3542</v>
      </c>
      <c r="C4" s="7">
        <v>34903</v>
      </c>
      <c r="D4" s="7">
        <v>17694</v>
      </c>
      <c r="E4" s="7">
        <v>1791</v>
      </c>
      <c r="F4" s="7"/>
      <c r="G4" s="7"/>
      <c r="H4" s="7"/>
      <c r="I4" s="7">
        <v>37</v>
      </c>
      <c r="J4" s="7">
        <v>564</v>
      </c>
      <c r="K4" s="7"/>
      <c r="L4" s="7">
        <v>58525</v>
      </c>
    </row>
    <row r="5" spans="1:12" x14ac:dyDescent="0.35">
      <c r="A5" t="s">
        <v>221</v>
      </c>
      <c r="B5" s="7">
        <v>-40809</v>
      </c>
      <c r="C5" s="7">
        <v>-263263</v>
      </c>
      <c r="D5" s="7">
        <v>-39834</v>
      </c>
      <c r="E5" s="7">
        <v>-33441</v>
      </c>
      <c r="F5" s="7"/>
      <c r="G5" s="7"/>
      <c r="H5" s="7"/>
      <c r="I5" s="7">
        <v>-273</v>
      </c>
      <c r="J5" s="7">
        <v>-589</v>
      </c>
      <c r="K5" s="7"/>
      <c r="L5" s="7">
        <v>-378208</v>
      </c>
    </row>
    <row r="6" spans="1:12" x14ac:dyDescent="0.35">
      <c r="A6" t="s">
        <v>222</v>
      </c>
      <c r="B6" s="7"/>
      <c r="C6" s="7"/>
      <c r="D6" s="7">
        <v>-7465</v>
      </c>
      <c r="E6" s="7"/>
      <c r="F6" s="7"/>
      <c r="G6" s="7"/>
      <c r="H6" s="7"/>
      <c r="I6" s="7"/>
      <c r="J6" s="7"/>
      <c r="K6" s="7"/>
      <c r="L6" s="7">
        <v>-7465</v>
      </c>
    </row>
    <row r="7" spans="1:12" x14ac:dyDescent="0.35">
      <c r="A7" t="s">
        <v>223</v>
      </c>
      <c r="B7" s="7"/>
      <c r="C7" s="7"/>
      <c r="D7" s="7">
        <v>-4272</v>
      </c>
      <c r="E7" s="7"/>
      <c r="F7" s="7"/>
      <c r="G7" s="7"/>
      <c r="H7" s="7"/>
      <c r="I7" s="7"/>
      <c r="J7" s="7"/>
      <c r="K7" s="7"/>
      <c r="L7" s="7">
        <v>-4272</v>
      </c>
    </row>
    <row r="8" spans="1:12" x14ac:dyDescent="0.35">
      <c r="A8" t="s">
        <v>224</v>
      </c>
      <c r="B8" s="7">
        <v>566</v>
      </c>
      <c r="C8" s="7">
        <v>231</v>
      </c>
      <c r="D8" s="7">
        <v>348</v>
      </c>
      <c r="E8" s="7"/>
      <c r="F8" s="7"/>
      <c r="G8" s="7"/>
      <c r="H8" s="7"/>
      <c r="I8" s="7"/>
      <c r="J8" s="7"/>
      <c r="K8" s="7"/>
      <c r="L8" s="7">
        <v>1140</v>
      </c>
    </row>
    <row r="9" spans="1:12" x14ac:dyDescent="0.35">
      <c r="A9" t="s">
        <v>225</v>
      </c>
      <c r="B9" s="7">
        <v>85607</v>
      </c>
      <c r="C9" s="7">
        <v>122266</v>
      </c>
      <c r="D9" s="7">
        <v>-33537</v>
      </c>
      <c r="E9" s="7">
        <v>37382</v>
      </c>
      <c r="F9" s="7">
        <v>2945</v>
      </c>
      <c r="G9" s="7">
        <v>5186</v>
      </c>
      <c r="H9" s="7">
        <v>337</v>
      </c>
      <c r="I9" s="7">
        <v>219269</v>
      </c>
      <c r="J9" s="7">
        <v>-24</v>
      </c>
      <c r="K9" s="7"/>
      <c r="L9" s="7">
        <v>439427</v>
      </c>
    </row>
    <row r="10" spans="1:12" x14ac:dyDescent="0.35">
      <c r="A10" t="s">
        <v>226</v>
      </c>
      <c r="B10" s="7"/>
      <c r="C10" s="7">
        <v>-14872</v>
      </c>
      <c r="D10" s="7">
        <v>15891</v>
      </c>
      <c r="E10" s="7"/>
      <c r="F10" s="7"/>
      <c r="G10" s="7"/>
      <c r="H10" s="7"/>
      <c r="I10" s="7"/>
      <c r="J10" s="7"/>
      <c r="K10" s="7"/>
      <c r="L10" s="7">
        <v>1018</v>
      </c>
    </row>
    <row r="11" spans="1:12" x14ac:dyDescent="0.35">
      <c r="A11" t="s">
        <v>227</v>
      </c>
      <c r="B11" s="7">
        <v>-2312</v>
      </c>
      <c r="C11" s="7">
        <v>-341</v>
      </c>
      <c r="D11" s="7">
        <v>888</v>
      </c>
      <c r="E11" s="7">
        <v>-122</v>
      </c>
      <c r="F11" s="7"/>
      <c r="G11" s="7"/>
      <c r="H11" s="7"/>
      <c r="I11" s="7">
        <v>-39</v>
      </c>
      <c r="J11" s="7">
        <v>-180</v>
      </c>
      <c r="K11" s="7"/>
      <c r="L11" s="7">
        <v>-2106</v>
      </c>
    </row>
    <row r="12" spans="1:12" x14ac:dyDescent="0.35">
      <c r="A12" t="s">
        <v>228</v>
      </c>
      <c r="B12" s="7">
        <v>-46177</v>
      </c>
      <c r="C12" s="7"/>
      <c r="D12" s="7">
        <v>-11214</v>
      </c>
      <c r="E12" s="7">
        <v>-15342</v>
      </c>
      <c r="F12" s="7">
        <v>-2945</v>
      </c>
      <c r="G12" s="7">
        <v>-5186</v>
      </c>
      <c r="H12" s="7">
        <v>-336</v>
      </c>
      <c r="I12" s="7">
        <v>-171</v>
      </c>
      <c r="J12" s="7">
        <v>31217</v>
      </c>
      <c r="K12" s="7"/>
      <c r="L12" s="7">
        <v>-50152</v>
      </c>
    </row>
    <row r="13" spans="1:12" x14ac:dyDescent="0.35">
      <c r="A13" t="s">
        <v>66</v>
      </c>
      <c r="B13" s="7"/>
      <c r="C13" s="7"/>
      <c r="D13" s="7"/>
      <c r="E13" s="7"/>
      <c r="F13" s="7"/>
      <c r="G13" s="7"/>
      <c r="H13" s="7"/>
      <c r="I13" s="7"/>
      <c r="J13" s="7"/>
      <c r="K13" s="7"/>
      <c r="L13" s="7"/>
    </row>
    <row r="14" spans="1:12" x14ac:dyDescent="0.35">
      <c r="A14" t="s">
        <v>229</v>
      </c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</row>
    <row r="15" spans="1:12" x14ac:dyDescent="0.35">
      <c r="A15" t="s">
        <v>230</v>
      </c>
      <c r="B15" s="7">
        <v>-2574</v>
      </c>
      <c r="C15" s="7"/>
      <c r="D15" s="7"/>
      <c r="E15" s="7"/>
      <c r="F15" s="7"/>
      <c r="G15" s="7"/>
      <c r="H15" s="7"/>
      <c r="I15" s="7"/>
      <c r="J15" s="7"/>
      <c r="K15" s="7"/>
      <c r="L15" s="7">
        <v>-2574</v>
      </c>
    </row>
    <row r="16" spans="1:12" x14ac:dyDescent="0.35">
      <c r="A16" t="s">
        <v>70</v>
      </c>
      <c r="B16" s="7"/>
      <c r="C16" s="7">
        <v>-112606</v>
      </c>
      <c r="D16" s="7">
        <v>109308</v>
      </c>
      <c r="E16" s="7"/>
      <c r="F16" s="7"/>
      <c r="G16" s="7"/>
      <c r="H16" s="7"/>
      <c r="I16" s="7"/>
      <c r="J16" s="7"/>
      <c r="K16" s="7"/>
      <c r="L16" s="7">
        <v>-3300</v>
      </c>
    </row>
    <row r="17" spans="1:12" x14ac:dyDescent="0.35">
      <c r="A17" t="s">
        <v>231</v>
      </c>
      <c r="B17" s="7">
        <v>-2212</v>
      </c>
      <c r="C17" s="7"/>
      <c r="D17" s="7"/>
      <c r="E17" s="7"/>
      <c r="F17" s="7"/>
      <c r="G17" s="7"/>
      <c r="H17" s="7"/>
      <c r="I17" s="7"/>
      <c r="J17" s="7"/>
      <c r="K17" s="7"/>
      <c r="L17" s="7">
        <v>-2212</v>
      </c>
    </row>
    <row r="18" spans="1:12" x14ac:dyDescent="0.35">
      <c r="A18" t="s">
        <v>232</v>
      </c>
      <c r="B18" s="7">
        <v>-13936</v>
      </c>
      <c r="C18" s="7">
        <v>6901</v>
      </c>
      <c r="D18" s="7"/>
      <c r="E18" s="7">
        <v>-1715</v>
      </c>
      <c r="F18" s="7"/>
      <c r="G18" s="7"/>
      <c r="H18" s="7"/>
      <c r="I18" s="7"/>
      <c r="J18" s="7"/>
      <c r="K18" s="7"/>
      <c r="L18" s="7">
        <v>-8750</v>
      </c>
    </row>
    <row r="19" spans="1:12" x14ac:dyDescent="0.35">
      <c r="A19" t="s">
        <v>233</v>
      </c>
      <c r="B19" s="7"/>
      <c r="C19" s="7"/>
      <c r="D19" s="7"/>
      <c r="E19" s="7"/>
      <c r="F19" s="7"/>
      <c r="G19" s="7"/>
      <c r="H19" s="7"/>
      <c r="I19" s="7">
        <v>-28263</v>
      </c>
      <c r="J19" s="7"/>
      <c r="K19" s="7"/>
      <c r="L19" s="7">
        <v>-28263</v>
      </c>
    </row>
    <row r="20" spans="1:12" x14ac:dyDescent="0.35">
      <c r="A20" t="s">
        <v>234</v>
      </c>
      <c r="B20" s="7">
        <v>-28</v>
      </c>
      <c r="C20" s="7">
        <v>-391</v>
      </c>
      <c r="D20" s="7">
        <v>-3989</v>
      </c>
      <c r="E20" s="7">
        <v>-8814</v>
      </c>
      <c r="F20" s="7"/>
      <c r="G20" s="7"/>
      <c r="H20" s="7"/>
      <c r="I20" s="7"/>
      <c r="J20" s="7">
        <v>-3448</v>
      </c>
      <c r="K20" s="7"/>
      <c r="L20" s="7">
        <v>-16667</v>
      </c>
    </row>
    <row r="21" spans="1:12" x14ac:dyDescent="0.35">
      <c r="A21" t="s">
        <v>235</v>
      </c>
      <c r="B21" s="7">
        <v>-61</v>
      </c>
      <c r="C21" s="7">
        <v>-924</v>
      </c>
      <c r="D21" s="7"/>
      <c r="E21" s="7">
        <v>-563</v>
      </c>
      <c r="F21" s="7"/>
      <c r="G21" s="7"/>
      <c r="H21" s="7"/>
      <c r="I21" s="7"/>
      <c r="J21" s="7">
        <v>-2949</v>
      </c>
      <c r="K21" s="7"/>
      <c r="L21" s="7">
        <v>-4496</v>
      </c>
    </row>
    <row r="22" spans="1:12" x14ac:dyDescent="0.35">
      <c r="A22" t="s">
        <v>131</v>
      </c>
      <c r="B22" s="7">
        <v>18309</v>
      </c>
      <c r="C22" s="7">
        <v>34</v>
      </c>
      <c r="D22" s="7">
        <v>77343</v>
      </c>
      <c r="E22" s="7">
        <v>10826</v>
      </c>
      <c r="F22" s="7"/>
      <c r="G22" s="7"/>
      <c r="H22" s="7">
        <v>1</v>
      </c>
      <c r="I22" s="7">
        <v>190794</v>
      </c>
      <c r="J22" s="7">
        <v>24615</v>
      </c>
      <c r="K22" s="7"/>
      <c r="L22" s="7">
        <v>321929</v>
      </c>
    </row>
    <row r="23" spans="1:12" x14ac:dyDescent="0.35">
      <c r="A23" t="s">
        <v>80</v>
      </c>
      <c r="B23" s="7">
        <v>10182</v>
      </c>
      <c r="C23" s="7">
        <v>34</v>
      </c>
      <c r="D23" s="7">
        <v>12579</v>
      </c>
      <c r="E23" s="7">
        <v>4470</v>
      </c>
      <c r="F23" s="7"/>
      <c r="G23" s="7"/>
      <c r="H23" s="7"/>
      <c r="I23" s="7">
        <v>9647</v>
      </c>
      <c r="J23" s="7">
        <v>12540</v>
      </c>
      <c r="K23" s="7"/>
      <c r="L23" s="7">
        <v>49455</v>
      </c>
    </row>
    <row r="24" spans="1:12" x14ac:dyDescent="0.35">
      <c r="A24" t="s">
        <v>82</v>
      </c>
      <c r="B24" s="7">
        <v>57</v>
      </c>
      <c r="C24" s="7"/>
      <c r="D24" s="7">
        <v>44653</v>
      </c>
      <c r="E24" s="7">
        <v>462</v>
      </c>
      <c r="F24" s="7"/>
      <c r="G24" s="7"/>
      <c r="H24" s="7"/>
      <c r="I24" s="7"/>
      <c r="J24" s="7">
        <v>427</v>
      </c>
      <c r="K24" s="7"/>
      <c r="L24" s="7">
        <v>45600</v>
      </c>
    </row>
    <row r="25" spans="1:12" x14ac:dyDescent="0.35">
      <c r="A25" t="s">
        <v>86</v>
      </c>
      <c r="B25" s="7">
        <v>1690</v>
      </c>
      <c r="C25" s="7"/>
      <c r="D25" s="7">
        <v>10304</v>
      </c>
      <c r="E25" s="7">
        <v>2420</v>
      </c>
      <c r="F25" s="7"/>
      <c r="G25" s="7"/>
      <c r="H25" s="7"/>
      <c r="I25" s="7">
        <v>174400</v>
      </c>
      <c r="J25" s="7">
        <v>6581</v>
      </c>
      <c r="K25" s="7"/>
      <c r="L25" s="7">
        <v>195393</v>
      </c>
    </row>
    <row r="26" spans="1:12" x14ac:dyDescent="0.35">
      <c r="A26" t="s">
        <v>88</v>
      </c>
      <c r="B26" s="7">
        <v>1163</v>
      </c>
      <c r="C26" s="7"/>
      <c r="D26" s="7">
        <v>539</v>
      </c>
      <c r="E26" s="7">
        <v>33</v>
      </c>
      <c r="F26" s="7"/>
      <c r="G26" s="7"/>
      <c r="H26" s="7"/>
      <c r="I26" s="7">
        <v>4380</v>
      </c>
      <c r="J26" s="7">
        <v>2488</v>
      </c>
      <c r="K26" s="7"/>
      <c r="L26" s="7">
        <v>8602</v>
      </c>
    </row>
    <row r="27" spans="1:12" x14ac:dyDescent="0.35">
      <c r="A27" t="s">
        <v>90</v>
      </c>
      <c r="B27" s="7">
        <v>446</v>
      </c>
      <c r="C27" s="7"/>
      <c r="D27" s="7">
        <v>2548</v>
      </c>
      <c r="E27" s="7"/>
      <c r="F27" s="7"/>
      <c r="G27" s="7"/>
      <c r="H27" s="7"/>
      <c r="I27" s="7">
        <v>1249</v>
      </c>
      <c r="J27" s="7">
        <v>912</v>
      </c>
      <c r="K27" s="7"/>
      <c r="L27" s="7">
        <v>5156</v>
      </c>
    </row>
    <row r="28" spans="1:12" x14ac:dyDescent="0.35">
      <c r="A28" t="s">
        <v>92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</row>
    <row r="29" spans="1:12" x14ac:dyDescent="0.35">
      <c r="A29" t="s">
        <v>94</v>
      </c>
      <c r="B29" s="7">
        <v>33</v>
      </c>
      <c r="C29" s="7"/>
      <c r="D29" s="7">
        <v>1449</v>
      </c>
      <c r="E29" s="7">
        <v>157</v>
      </c>
      <c r="F29" s="7"/>
      <c r="G29" s="7"/>
      <c r="H29" s="7"/>
      <c r="I29" s="7">
        <v>1123</v>
      </c>
      <c r="J29" s="7">
        <v>1670</v>
      </c>
      <c r="K29" s="7"/>
      <c r="L29" s="7">
        <v>4430</v>
      </c>
    </row>
    <row r="30" spans="1:12" x14ac:dyDescent="0.35">
      <c r="A30" t="s">
        <v>236</v>
      </c>
      <c r="B30" s="7">
        <v>4739</v>
      </c>
      <c r="C30" s="7"/>
      <c r="D30" s="7">
        <v>5276</v>
      </c>
      <c r="E30" s="7">
        <v>3284</v>
      </c>
      <c r="F30" s="7"/>
      <c r="G30" s="7"/>
      <c r="H30" s="7"/>
      <c r="I30" s="7"/>
      <c r="J30" s="7"/>
      <c r="K30" s="7"/>
      <c r="L30" s="7">
        <v>13298</v>
      </c>
    </row>
    <row r="32" spans="1:12" x14ac:dyDescent="0.35">
      <c r="B32" s="7">
        <f>SUM(B9,B10:B21,B22*-1)</f>
        <v>-2</v>
      </c>
      <c r="C32" s="7">
        <f t="shared" ref="C32:L32" si="0">SUM(C9,C10:C21,C22*-1)</f>
        <v>-1</v>
      </c>
      <c r="D32" s="7">
        <f t="shared" si="0"/>
        <v>4</v>
      </c>
      <c r="E32" s="7">
        <f t="shared" si="0"/>
        <v>0</v>
      </c>
      <c r="F32" s="7">
        <f t="shared" si="0"/>
        <v>0</v>
      </c>
      <c r="G32" s="7">
        <f t="shared" si="0"/>
        <v>0</v>
      </c>
      <c r="H32" s="7">
        <f t="shared" si="0"/>
        <v>0</v>
      </c>
      <c r="I32" s="7">
        <f t="shared" si="0"/>
        <v>2</v>
      </c>
      <c r="J32" s="7">
        <f t="shared" si="0"/>
        <v>1</v>
      </c>
      <c r="K32" s="7">
        <f t="shared" si="0"/>
        <v>0</v>
      </c>
      <c r="L32" s="7">
        <f t="shared" si="0"/>
        <v>-4</v>
      </c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Ark10"/>
  <dimension ref="A1:L32"/>
  <sheetViews>
    <sheetView workbookViewId="0">
      <selection activeCell="A3" sqref="A3:L30"/>
    </sheetView>
  </sheetViews>
  <sheetFormatPr defaultRowHeight="14.5" x14ac:dyDescent="0.35"/>
  <cols>
    <col min="1" max="1" width="30" customWidth="1"/>
    <col min="2" max="2" width="11.54296875" customWidth="1"/>
    <col min="3" max="3" width="12" customWidth="1"/>
    <col min="4" max="4" width="14.54296875" customWidth="1"/>
    <col min="5" max="5" width="14.1796875" customWidth="1"/>
    <col min="8" max="8" width="22.81640625" customWidth="1"/>
    <col min="9" max="9" width="21.81640625" customWidth="1"/>
    <col min="10" max="10" width="13.81640625" customWidth="1"/>
    <col min="11" max="11" width="12.26953125" customWidth="1"/>
    <col min="12" max="12" width="11.81640625" customWidth="1"/>
  </cols>
  <sheetData>
    <row r="1" spans="1:12" x14ac:dyDescent="0.35">
      <c r="B1" t="s">
        <v>214</v>
      </c>
      <c r="C1" t="s">
        <v>2</v>
      </c>
      <c r="D1" t="s">
        <v>215</v>
      </c>
      <c r="E1" t="s">
        <v>216</v>
      </c>
      <c r="F1" t="s">
        <v>5</v>
      </c>
      <c r="G1" t="s">
        <v>6</v>
      </c>
      <c r="H1" t="s">
        <v>217</v>
      </c>
      <c r="I1" t="s">
        <v>8</v>
      </c>
      <c r="J1" t="s">
        <v>9</v>
      </c>
      <c r="K1" t="s">
        <v>10</v>
      </c>
      <c r="L1" t="s">
        <v>218</v>
      </c>
    </row>
    <row r="2" spans="1:12" x14ac:dyDescent="0.35">
      <c r="B2" t="s">
        <v>219</v>
      </c>
      <c r="C2" t="s">
        <v>219</v>
      </c>
      <c r="D2" t="s">
        <v>219</v>
      </c>
      <c r="E2" t="s">
        <v>219</v>
      </c>
      <c r="F2" t="s">
        <v>219</v>
      </c>
      <c r="G2" t="s">
        <v>219</v>
      </c>
      <c r="H2" t="s">
        <v>219</v>
      </c>
      <c r="I2" t="s">
        <v>219</v>
      </c>
      <c r="J2" t="s">
        <v>219</v>
      </c>
      <c r="K2" t="s">
        <v>219</v>
      </c>
      <c r="L2" t="s">
        <v>219</v>
      </c>
    </row>
    <row r="3" spans="1:12" x14ac:dyDescent="0.35">
      <c r="A3" t="s">
        <v>17</v>
      </c>
      <c r="B3" s="7">
        <v>130910</v>
      </c>
      <c r="C3" s="7">
        <v>389976</v>
      </c>
      <c r="D3" s="7"/>
      <c r="E3" s="7">
        <v>104454</v>
      </c>
      <c r="F3" s="7">
        <v>3390</v>
      </c>
      <c r="G3" s="7">
        <v>6449</v>
      </c>
      <c r="H3" s="7">
        <v>395</v>
      </c>
      <c r="I3" s="7">
        <v>241432</v>
      </c>
      <c r="J3" s="7"/>
      <c r="K3" s="7">
        <v>28</v>
      </c>
      <c r="L3" s="7">
        <v>877028</v>
      </c>
    </row>
    <row r="4" spans="1:12" x14ac:dyDescent="0.35">
      <c r="A4" t="s">
        <v>220</v>
      </c>
      <c r="B4" s="7">
        <v>6089</v>
      </c>
      <c r="C4" s="7">
        <v>37447</v>
      </c>
      <c r="D4" s="7">
        <v>35965</v>
      </c>
      <c r="E4" s="7">
        <v>847</v>
      </c>
      <c r="F4" s="7"/>
      <c r="G4" s="7"/>
      <c r="H4" s="7"/>
      <c r="I4" s="7">
        <v>4</v>
      </c>
      <c r="J4" s="7">
        <v>2612</v>
      </c>
      <c r="K4" s="7"/>
      <c r="L4" s="7">
        <v>82966</v>
      </c>
    </row>
    <row r="5" spans="1:12" x14ac:dyDescent="0.35">
      <c r="A5" t="s">
        <v>221</v>
      </c>
      <c r="B5" s="7">
        <v>-47637</v>
      </c>
      <c r="C5" s="7">
        <v>-302962</v>
      </c>
      <c r="D5" s="7">
        <v>-49326</v>
      </c>
      <c r="E5" s="7">
        <v>-58104</v>
      </c>
      <c r="F5" s="7"/>
      <c r="G5" s="7"/>
      <c r="H5" s="7"/>
      <c r="I5" s="7">
        <v>-264</v>
      </c>
      <c r="J5" s="7">
        <v>-1467</v>
      </c>
      <c r="K5" s="7"/>
      <c r="L5" s="7">
        <v>-459764</v>
      </c>
    </row>
    <row r="6" spans="1:12" x14ac:dyDescent="0.35">
      <c r="A6" t="s">
        <v>222</v>
      </c>
      <c r="B6" s="7"/>
      <c r="C6" s="7"/>
      <c r="D6" s="7">
        <v>-7308</v>
      </c>
      <c r="E6" s="7"/>
      <c r="F6" s="7"/>
      <c r="G6" s="7"/>
      <c r="H6" s="7"/>
      <c r="I6" s="7"/>
      <c r="J6" s="7"/>
      <c r="K6" s="7"/>
      <c r="L6" s="7">
        <v>-7308</v>
      </c>
    </row>
    <row r="7" spans="1:12" x14ac:dyDescent="0.35">
      <c r="A7" t="s">
        <v>223</v>
      </c>
      <c r="B7" s="7"/>
      <c r="C7" s="7"/>
      <c r="D7" s="7">
        <v>-5617</v>
      </c>
      <c r="E7" s="7"/>
      <c r="F7" s="7"/>
      <c r="G7" s="7"/>
      <c r="H7" s="7"/>
      <c r="I7" s="7"/>
      <c r="J7" s="7"/>
      <c r="K7" s="7"/>
      <c r="L7" s="7">
        <v>-5617</v>
      </c>
    </row>
    <row r="8" spans="1:12" x14ac:dyDescent="0.35">
      <c r="A8" t="s">
        <v>224</v>
      </c>
      <c r="B8" s="7">
        <v>891</v>
      </c>
      <c r="C8" s="7">
        <v>1732</v>
      </c>
      <c r="D8" s="7">
        <v>1114</v>
      </c>
      <c r="E8" s="7"/>
      <c r="F8" s="7"/>
      <c r="G8" s="7"/>
      <c r="H8" s="7"/>
      <c r="I8" s="7"/>
      <c r="J8" s="7"/>
      <c r="K8" s="7"/>
      <c r="L8" s="7">
        <v>3735</v>
      </c>
    </row>
    <row r="9" spans="1:12" x14ac:dyDescent="0.35">
      <c r="A9" t="s">
        <v>225</v>
      </c>
      <c r="B9" s="7">
        <v>90253</v>
      </c>
      <c r="C9" s="7">
        <v>126190</v>
      </c>
      <c r="D9" s="7">
        <v>-25173</v>
      </c>
      <c r="E9" s="7">
        <v>47197</v>
      </c>
      <c r="F9" s="7">
        <v>3390</v>
      </c>
      <c r="G9" s="7">
        <v>6449</v>
      </c>
      <c r="H9" s="7">
        <v>395</v>
      </c>
      <c r="I9" s="7">
        <v>241171</v>
      </c>
      <c r="J9" s="7">
        <v>1145</v>
      </c>
      <c r="K9" s="7">
        <v>28</v>
      </c>
      <c r="L9" s="7">
        <v>491036</v>
      </c>
    </row>
    <row r="10" spans="1:12" x14ac:dyDescent="0.35">
      <c r="A10" t="s">
        <v>226</v>
      </c>
      <c r="B10" s="7"/>
      <c r="C10" s="7">
        <v>-20649</v>
      </c>
      <c r="D10" s="7">
        <v>22020</v>
      </c>
      <c r="E10" s="7"/>
      <c r="F10" s="7"/>
      <c r="G10" s="7"/>
      <c r="H10" s="7"/>
      <c r="I10" s="7"/>
      <c r="J10" s="7"/>
      <c r="K10" s="7"/>
      <c r="L10" s="7">
        <v>1372</v>
      </c>
    </row>
    <row r="11" spans="1:12" x14ac:dyDescent="0.35">
      <c r="A11" t="s">
        <v>227</v>
      </c>
      <c r="B11" s="7">
        <v>141</v>
      </c>
      <c r="C11" s="7">
        <v>-2144</v>
      </c>
      <c r="D11" s="7">
        <v>-292</v>
      </c>
      <c r="E11" s="7">
        <v>316</v>
      </c>
      <c r="F11" s="7"/>
      <c r="G11" s="7"/>
      <c r="H11" s="7"/>
      <c r="I11" s="7">
        <v>88</v>
      </c>
      <c r="J11" s="7">
        <v>9</v>
      </c>
      <c r="K11" s="7"/>
      <c r="L11" s="7">
        <v>-1880</v>
      </c>
    </row>
    <row r="12" spans="1:12" x14ac:dyDescent="0.35">
      <c r="A12" t="s">
        <v>228</v>
      </c>
      <c r="B12" s="7">
        <v>-52117</v>
      </c>
      <c r="C12" s="7">
        <v>-156</v>
      </c>
      <c r="D12" s="7">
        <v>-10961</v>
      </c>
      <c r="E12" s="7">
        <v>-21987</v>
      </c>
      <c r="F12" s="7">
        <v>-3390</v>
      </c>
      <c r="G12" s="7">
        <v>-6449</v>
      </c>
      <c r="H12" s="7">
        <v>-394</v>
      </c>
      <c r="I12" s="7">
        <v>-381</v>
      </c>
      <c r="J12" s="7">
        <v>37962</v>
      </c>
      <c r="K12" s="7">
        <v>-28</v>
      </c>
      <c r="L12" s="7">
        <v>-57898</v>
      </c>
    </row>
    <row r="13" spans="1:12" x14ac:dyDescent="0.35">
      <c r="A13" t="s">
        <v>66</v>
      </c>
      <c r="B13" s="7"/>
      <c r="C13" s="7"/>
      <c r="D13" s="7"/>
      <c r="E13" s="7"/>
      <c r="F13" s="7"/>
      <c r="G13" s="7"/>
      <c r="H13" s="7"/>
      <c r="I13" s="7"/>
      <c r="J13" s="7"/>
      <c r="K13" s="7"/>
      <c r="L13" s="7"/>
    </row>
    <row r="14" spans="1:12" x14ac:dyDescent="0.35">
      <c r="A14" t="s">
        <v>229</v>
      </c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</row>
    <row r="15" spans="1:12" x14ac:dyDescent="0.35">
      <c r="A15" t="s">
        <v>230</v>
      </c>
      <c r="B15" s="7">
        <v>-2335</v>
      </c>
      <c r="C15" s="7"/>
      <c r="D15" s="7"/>
      <c r="E15" s="7"/>
      <c r="F15" s="7"/>
      <c r="G15" s="7"/>
      <c r="H15" s="7"/>
      <c r="I15" s="7"/>
      <c r="J15" s="7"/>
      <c r="K15" s="7"/>
      <c r="L15" s="7">
        <v>-2335</v>
      </c>
    </row>
    <row r="16" spans="1:12" x14ac:dyDescent="0.35">
      <c r="A16" t="s">
        <v>70</v>
      </c>
      <c r="B16" s="7"/>
      <c r="C16" s="7">
        <v>-109419</v>
      </c>
      <c r="D16" s="7">
        <v>108779</v>
      </c>
      <c r="E16" s="7"/>
      <c r="F16" s="7"/>
      <c r="G16" s="7"/>
      <c r="H16" s="7"/>
      <c r="I16" s="7"/>
      <c r="J16" s="7"/>
      <c r="K16" s="7"/>
      <c r="L16" s="7">
        <v>-639</v>
      </c>
    </row>
    <row r="17" spans="1:12" x14ac:dyDescent="0.35">
      <c r="A17" t="s">
        <v>231</v>
      </c>
      <c r="B17" s="7">
        <v>-1895</v>
      </c>
      <c r="C17" s="7"/>
      <c r="D17" s="7"/>
      <c r="E17" s="7"/>
      <c r="F17" s="7"/>
      <c r="G17" s="7"/>
      <c r="H17" s="7"/>
      <c r="I17" s="7"/>
      <c r="J17" s="7"/>
      <c r="K17" s="7"/>
      <c r="L17" s="7">
        <v>-1895</v>
      </c>
    </row>
    <row r="18" spans="1:12" x14ac:dyDescent="0.35">
      <c r="A18" t="s">
        <v>232</v>
      </c>
      <c r="B18" s="7">
        <v>-14843</v>
      </c>
      <c r="C18" s="7">
        <v>7696</v>
      </c>
      <c r="D18" s="7"/>
      <c r="E18" s="7">
        <v>-1398</v>
      </c>
      <c r="F18" s="7"/>
      <c r="G18" s="7"/>
      <c r="H18" s="7"/>
      <c r="I18" s="7"/>
      <c r="J18" s="7"/>
      <c r="K18" s="7"/>
      <c r="L18" s="7">
        <v>-8545</v>
      </c>
    </row>
    <row r="19" spans="1:12" x14ac:dyDescent="0.35">
      <c r="A19" t="s">
        <v>233</v>
      </c>
      <c r="B19" s="7"/>
      <c r="C19" s="7"/>
      <c r="D19" s="7"/>
      <c r="E19" s="7"/>
      <c r="F19" s="7"/>
      <c r="G19" s="7"/>
      <c r="H19" s="7"/>
      <c r="I19" s="7">
        <v>-30223</v>
      </c>
      <c r="J19" s="7"/>
      <c r="K19" s="7"/>
      <c r="L19" s="7">
        <v>-30223</v>
      </c>
    </row>
    <row r="20" spans="1:12" x14ac:dyDescent="0.35">
      <c r="A20" t="s">
        <v>234</v>
      </c>
      <c r="B20" s="7">
        <v>-19</v>
      </c>
      <c r="C20" s="7">
        <v>-465</v>
      </c>
      <c r="D20" s="7">
        <v>-4208</v>
      </c>
      <c r="E20" s="7">
        <v>-9994</v>
      </c>
      <c r="F20" s="7"/>
      <c r="G20" s="7"/>
      <c r="H20" s="7"/>
      <c r="I20" s="7"/>
      <c r="J20" s="7">
        <v>-3451</v>
      </c>
      <c r="K20" s="7"/>
      <c r="L20" s="7">
        <v>-18138</v>
      </c>
    </row>
    <row r="21" spans="1:12" x14ac:dyDescent="0.35">
      <c r="A21" t="s">
        <v>235</v>
      </c>
      <c r="B21" s="7">
        <v>-92</v>
      </c>
      <c r="C21" s="7">
        <v>-1023</v>
      </c>
      <c r="D21" s="7">
        <v>-58</v>
      </c>
      <c r="E21" s="7">
        <v>-143</v>
      </c>
      <c r="F21" s="7"/>
      <c r="G21" s="7"/>
      <c r="H21" s="7"/>
      <c r="I21" s="7"/>
      <c r="J21" s="7">
        <v>-4443</v>
      </c>
      <c r="K21" s="7"/>
      <c r="L21" s="7">
        <v>-5760</v>
      </c>
    </row>
    <row r="22" spans="1:12" x14ac:dyDescent="0.35">
      <c r="A22" t="s">
        <v>131</v>
      </c>
      <c r="B22" s="7">
        <v>19092</v>
      </c>
      <c r="C22" s="7">
        <v>29</v>
      </c>
      <c r="D22" s="7">
        <v>90107</v>
      </c>
      <c r="E22" s="7">
        <v>13990</v>
      </c>
      <c r="F22" s="7"/>
      <c r="G22" s="7"/>
      <c r="H22" s="7">
        <v>1</v>
      </c>
      <c r="I22" s="7">
        <v>210656</v>
      </c>
      <c r="J22" s="7">
        <v>31217</v>
      </c>
      <c r="K22" s="7"/>
      <c r="L22" s="7">
        <v>365090</v>
      </c>
    </row>
    <row r="23" spans="1:12" x14ac:dyDescent="0.35">
      <c r="A23" t="s">
        <v>80</v>
      </c>
      <c r="B23" s="7">
        <v>11573</v>
      </c>
      <c r="C23" s="7">
        <v>29</v>
      </c>
      <c r="D23" s="7">
        <v>13155</v>
      </c>
      <c r="E23" s="7">
        <v>6075</v>
      </c>
      <c r="F23" s="7"/>
      <c r="G23" s="7"/>
      <c r="H23" s="7"/>
      <c r="I23" s="7">
        <v>11035</v>
      </c>
      <c r="J23" s="7">
        <v>15099</v>
      </c>
      <c r="K23" s="7"/>
      <c r="L23" s="7">
        <v>56963</v>
      </c>
    </row>
    <row r="24" spans="1:12" x14ac:dyDescent="0.35">
      <c r="A24" t="s">
        <v>82</v>
      </c>
      <c r="B24" s="7">
        <v>11</v>
      </c>
      <c r="C24" s="7"/>
      <c r="D24" s="7">
        <v>53708</v>
      </c>
      <c r="E24" s="7">
        <v>662</v>
      </c>
      <c r="F24" s="7"/>
      <c r="G24" s="7"/>
      <c r="H24" s="7"/>
      <c r="I24" s="7"/>
      <c r="J24" s="7">
        <v>529</v>
      </c>
      <c r="K24" s="7"/>
      <c r="L24" s="7">
        <v>54910</v>
      </c>
    </row>
    <row r="25" spans="1:12" x14ac:dyDescent="0.35">
      <c r="A25" t="s">
        <v>86</v>
      </c>
      <c r="B25" s="7">
        <v>1021</v>
      </c>
      <c r="C25" s="7"/>
      <c r="D25" s="7">
        <v>12526</v>
      </c>
      <c r="E25" s="7">
        <v>2490</v>
      </c>
      <c r="F25" s="7"/>
      <c r="G25" s="7"/>
      <c r="H25" s="7"/>
      <c r="I25" s="7">
        <v>191929</v>
      </c>
      <c r="J25" s="7">
        <v>8411</v>
      </c>
      <c r="K25" s="7"/>
      <c r="L25" s="7">
        <v>216381</v>
      </c>
    </row>
    <row r="26" spans="1:12" x14ac:dyDescent="0.35">
      <c r="A26" t="s">
        <v>88</v>
      </c>
      <c r="B26" s="7">
        <v>732</v>
      </c>
      <c r="C26" s="7"/>
      <c r="D26" s="7">
        <v>1028</v>
      </c>
      <c r="E26" s="7">
        <v>41</v>
      </c>
      <c r="F26" s="7"/>
      <c r="G26" s="7"/>
      <c r="H26" s="7"/>
      <c r="I26" s="7">
        <v>5497</v>
      </c>
      <c r="J26" s="7">
        <v>4033</v>
      </c>
      <c r="K26" s="7"/>
      <c r="L26" s="7">
        <v>11330</v>
      </c>
    </row>
    <row r="27" spans="1:12" x14ac:dyDescent="0.35">
      <c r="A27" t="s">
        <v>90</v>
      </c>
      <c r="B27" s="7">
        <v>443</v>
      </c>
      <c r="C27" s="7"/>
      <c r="D27" s="7">
        <v>2639</v>
      </c>
      <c r="E27" s="7"/>
      <c r="F27" s="7"/>
      <c r="G27" s="7"/>
      <c r="H27" s="7"/>
      <c r="I27" s="7">
        <v>1810</v>
      </c>
      <c r="J27" s="7">
        <v>929</v>
      </c>
      <c r="K27" s="7"/>
      <c r="L27" s="7">
        <v>5818</v>
      </c>
    </row>
    <row r="28" spans="1:12" x14ac:dyDescent="0.35">
      <c r="A28" t="s">
        <v>92</v>
      </c>
      <c r="B28" s="7"/>
      <c r="C28" s="7"/>
      <c r="D28" s="7">
        <v>136</v>
      </c>
      <c r="E28" s="7"/>
      <c r="F28" s="7"/>
      <c r="G28" s="7"/>
      <c r="H28" s="7"/>
      <c r="I28" s="7"/>
      <c r="J28" s="7"/>
      <c r="K28" s="7"/>
      <c r="L28" s="7">
        <v>136</v>
      </c>
    </row>
    <row r="29" spans="1:12" x14ac:dyDescent="0.35">
      <c r="A29" t="s">
        <v>94</v>
      </c>
      <c r="B29" s="7">
        <v>27</v>
      </c>
      <c r="C29" s="7"/>
      <c r="D29" s="7">
        <v>1216</v>
      </c>
      <c r="E29" s="7">
        <v>493</v>
      </c>
      <c r="F29" s="7"/>
      <c r="G29" s="7"/>
      <c r="H29" s="7"/>
      <c r="I29" s="7">
        <v>382</v>
      </c>
      <c r="J29" s="7">
        <v>2217</v>
      </c>
      <c r="K29" s="7"/>
      <c r="L29" s="7">
        <v>4337</v>
      </c>
    </row>
    <row r="30" spans="1:12" x14ac:dyDescent="0.35">
      <c r="A30" t="s">
        <v>236</v>
      </c>
      <c r="B30" s="7">
        <v>5285</v>
      </c>
      <c r="C30" s="7"/>
      <c r="D30" s="7">
        <v>5701</v>
      </c>
      <c r="E30" s="7">
        <v>4228</v>
      </c>
      <c r="F30" s="7"/>
      <c r="G30" s="7"/>
      <c r="H30" s="7"/>
      <c r="I30" s="7"/>
      <c r="J30" s="7"/>
      <c r="K30" s="7"/>
      <c r="L30" s="7">
        <v>15215</v>
      </c>
    </row>
    <row r="32" spans="1:12" x14ac:dyDescent="0.35">
      <c r="B32" s="7">
        <f>SUM(B9,B10:B21,B22*-1)</f>
        <v>1</v>
      </c>
      <c r="C32" s="7">
        <f t="shared" ref="C32:L32" si="0">SUM(C9,C10:C21,C22*-1)</f>
        <v>1</v>
      </c>
      <c r="D32" s="7">
        <f t="shared" si="0"/>
        <v>0</v>
      </c>
      <c r="E32" s="7">
        <f t="shared" si="0"/>
        <v>1</v>
      </c>
      <c r="F32" s="7">
        <f t="shared" si="0"/>
        <v>0</v>
      </c>
      <c r="G32" s="7">
        <f t="shared" si="0"/>
        <v>0</v>
      </c>
      <c r="H32" s="7">
        <f t="shared" si="0"/>
        <v>0</v>
      </c>
      <c r="I32" s="7">
        <f t="shared" si="0"/>
        <v>-1</v>
      </c>
      <c r="J32" s="7">
        <f t="shared" si="0"/>
        <v>5</v>
      </c>
      <c r="K32" s="7">
        <f t="shared" si="0"/>
        <v>0</v>
      </c>
      <c r="L32" s="7">
        <f t="shared" si="0"/>
        <v>5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Ark51"/>
  <dimension ref="A1:AH30"/>
  <sheetViews>
    <sheetView topLeftCell="D1" zoomScale="44" zoomScaleNormal="44" workbookViewId="0">
      <selection activeCell="V28" sqref="V28"/>
    </sheetView>
  </sheetViews>
  <sheetFormatPr defaultRowHeight="14.5" x14ac:dyDescent="0.35"/>
  <cols>
    <col min="3" max="3" width="16.453125" customWidth="1"/>
    <col min="4" max="4" width="12.81640625" customWidth="1"/>
    <col min="5" max="5" width="12.54296875" customWidth="1"/>
    <col min="6" max="6" width="16.54296875" customWidth="1"/>
    <col min="7" max="7" width="11.453125" customWidth="1"/>
    <col min="8" max="8" width="11.6328125" customWidth="1"/>
    <col min="9" max="9" width="12.6328125" customWidth="1"/>
    <col min="10" max="10" width="12.54296875" customWidth="1"/>
    <col min="11" max="11" width="11.54296875" customWidth="1"/>
    <col min="14" max="14" width="13.54296875" customWidth="1"/>
    <col min="15" max="15" width="51.54296875" customWidth="1"/>
    <col min="16" max="18" width="15.81640625" customWidth="1"/>
    <col min="19" max="19" width="12.81640625" customWidth="1"/>
    <col min="24" max="24" width="14.1796875" bestFit="1" customWidth="1"/>
    <col min="30" max="30" width="10.1796875" customWidth="1"/>
    <col min="32" max="32" width="10.1796875" customWidth="1"/>
    <col min="33" max="34" width="11.26953125" customWidth="1"/>
  </cols>
  <sheetData>
    <row r="1" spans="1:34" ht="140" x14ac:dyDescent="0.35">
      <c r="B1" s="44" t="s">
        <v>0</v>
      </c>
      <c r="C1" s="3" t="s">
        <v>1</v>
      </c>
      <c r="D1" s="8" t="s">
        <v>2</v>
      </c>
      <c r="E1" s="2" t="s">
        <v>3</v>
      </c>
      <c r="F1" s="3" t="s">
        <v>4</v>
      </c>
      <c r="G1" s="1" t="s">
        <v>5</v>
      </c>
      <c r="H1" s="1" t="s">
        <v>6</v>
      </c>
      <c r="I1" s="1" t="s">
        <v>7</v>
      </c>
      <c r="J1" s="3" t="s">
        <v>8</v>
      </c>
      <c r="K1" s="2" t="s">
        <v>9</v>
      </c>
      <c r="L1" s="2" t="s">
        <v>10</v>
      </c>
      <c r="M1" s="17" t="s">
        <v>11</v>
      </c>
      <c r="N1" s="5" t="s">
        <v>12</v>
      </c>
      <c r="O1" s="4" t="s">
        <v>13</v>
      </c>
      <c r="P1" s="60"/>
      <c r="Q1" s="60"/>
      <c r="R1" s="12" t="s">
        <v>14</v>
      </c>
      <c r="S1" s="11" t="s">
        <v>15</v>
      </c>
      <c r="T1" s="12" t="s">
        <v>16</v>
      </c>
      <c r="U1" s="44" t="s">
        <v>17</v>
      </c>
      <c r="V1" s="3" t="s">
        <v>1</v>
      </c>
      <c r="W1" s="8" t="s">
        <v>2</v>
      </c>
      <c r="X1" s="9" t="s">
        <v>3</v>
      </c>
      <c r="Y1" s="3" t="s">
        <v>4</v>
      </c>
      <c r="Z1" s="1" t="s">
        <v>5</v>
      </c>
      <c r="AA1" s="1" t="s">
        <v>6</v>
      </c>
      <c r="AB1" s="1" t="s">
        <v>7</v>
      </c>
      <c r="AC1" s="3" t="s">
        <v>8</v>
      </c>
      <c r="AD1" s="2" t="s">
        <v>9</v>
      </c>
      <c r="AE1" s="2" t="s">
        <v>10</v>
      </c>
      <c r="AF1" s="17" t="s">
        <v>11</v>
      </c>
      <c r="AG1" s="13" t="s">
        <v>18</v>
      </c>
      <c r="AH1" s="13" t="s">
        <v>19</v>
      </c>
    </row>
    <row r="2" spans="1:34" ht="24.75" customHeight="1" x14ac:dyDescent="0.35">
      <c r="A2" s="45" t="s">
        <v>20</v>
      </c>
      <c r="B2" s="46" t="s">
        <v>21</v>
      </c>
      <c r="C2" s="46" t="s">
        <v>22</v>
      </c>
      <c r="D2" s="46" t="s">
        <v>23</v>
      </c>
      <c r="E2" s="47" t="s">
        <v>24</v>
      </c>
      <c r="F2" s="46" t="s">
        <v>25</v>
      </c>
      <c r="G2" s="46" t="s">
        <v>26</v>
      </c>
      <c r="H2" s="46" t="s">
        <v>27</v>
      </c>
      <c r="I2" s="46" t="s">
        <v>28</v>
      </c>
      <c r="J2" s="48" t="s">
        <v>29</v>
      </c>
      <c r="K2" s="47" t="s">
        <v>30</v>
      </c>
      <c r="L2" s="49" t="s">
        <v>31</v>
      </c>
      <c r="M2" s="49" t="s">
        <v>32</v>
      </c>
      <c r="N2" s="50" t="s">
        <v>33</v>
      </c>
      <c r="O2" s="51"/>
      <c r="P2" s="52" t="s">
        <v>20</v>
      </c>
      <c r="Q2" s="53" t="s">
        <v>34</v>
      </c>
      <c r="R2" s="50" t="s">
        <v>35</v>
      </c>
      <c r="S2" s="54" t="s">
        <v>36</v>
      </c>
      <c r="T2" s="50" t="s">
        <v>37</v>
      </c>
      <c r="U2" s="46" t="s">
        <v>38</v>
      </c>
      <c r="V2" s="46" t="s">
        <v>39</v>
      </c>
      <c r="W2" s="46" t="s">
        <v>40</v>
      </c>
      <c r="X2" s="47" t="s">
        <v>41</v>
      </c>
      <c r="Y2" s="46" t="s">
        <v>42</v>
      </c>
      <c r="Z2" s="46" t="s">
        <v>43</v>
      </c>
      <c r="AA2" s="46" t="s">
        <v>44</v>
      </c>
      <c r="AB2" s="46" t="s">
        <v>45</v>
      </c>
      <c r="AC2" s="46" t="s">
        <v>46</v>
      </c>
      <c r="AD2" s="47" t="s">
        <v>47</v>
      </c>
      <c r="AE2" s="47" t="s">
        <v>48</v>
      </c>
      <c r="AF2" s="49" t="s">
        <v>49</v>
      </c>
      <c r="AG2" s="46" t="s">
        <v>50</v>
      </c>
      <c r="AH2" s="46" t="s">
        <v>51</v>
      </c>
    </row>
    <row r="3" spans="1:34" ht="24.75" customHeight="1" x14ac:dyDescent="0.35">
      <c r="A3" s="45" t="s">
        <v>34</v>
      </c>
      <c r="B3" s="55"/>
      <c r="C3" s="56" t="s">
        <v>52</v>
      </c>
      <c r="D3" s="56" t="s">
        <v>52</v>
      </c>
      <c r="E3" s="56" t="s">
        <v>21</v>
      </c>
      <c r="F3" s="56" t="s">
        <v>21</v>
      </c>
      <c r="G3" s="56" t="s">
        <v>21</v>
      </c>
      <c r="H3" s="56" t="s">
        <v>52</v>
      </c>
      <c r="I3" s="56" t="s">
        <v>52</v>
      </c>
      <c r="J3" s="56" t="s">
        <v>21</v>
      </c>
      <c r="K3" s="56" t="s">
        <v>21</v>
      </c>
      <c r="L3" s="57" t="s">
        <v>21</v>
      </c>
      <c r="M3" s="57" t="s">
        <v>21</v>
      </c>
      <c r="N3" s="50"/>
      <c r="O3" s="51" t="s">
        <v>53</v>
      </c>
      <c r="P3" s="52"/>
      <c r="Q3" s="53"/>
      <c r="R3" s="74"/>
      <c r="S3" s="58"/>
      <c r="T3" s="59"/>
      <c r="U3" s="55"/>
      <c r="V3" s="56" t="s">
        <v>38</v>
      </c>
      <c r="W3" s="56" t="s">
        <v>38</v>
      </c>
      <c r="X3" s="56" t="s">
        <v>38</v>
      </c>
      <c r="Y3" s="56" t="s">
        <v>38</v>
      </c>
      <c r="Z3" s="56" t="s">
        <v>38</v>
      </c>
      <c r="AA3" s="56" t="s">
        <v>38</v>
      </c>
      <c r="AB3" s="56" t="s">
        <v>54</v>
      </c>
      <c r="AC3" s="56" t="s">
        <v>38</v>
      </c>
      <c r="AD3" s="56" t="s">
        <v>38</v>
      </c>
      <c r="AE3" s="56" t="s">
        <v>38</v>
      </c>
      <c r="AF3" s="57" t="s">
        <v>38</v>
      </c>
      <c r="AG3" s="56"/>
      <c r="AH3" s="56"/>
    </row>
    <row r="4" spans="1:34" ht="24.75" customHeight="1" x14ac:dyDescent="0.35">
      <c r="A4" s="72" t="s">
        <v>55</v>
      </c>
      <c r="B4" s="72"/>
      <c r="C4" s="56"/>
      <c r="D4" s="56"/>
      <c r="E4" s="56"/>
      <c r="F4" s="56"/>
      <c r="G4" s="56"/>
      <c r="H4" s="56"/>
      <c r="I4" s="56"/>
      <c r="J4" s="56"/>
      <c r="K4" s="56"/>
      <c r="L4" s="57"/>
      <c r="M4" s="57"/>
      <c r="N4" s="50"/>
      <c r="O4" s="51"/>
      <c r="P4" s="73"/>
      <c r="Q4" s="53"/>
      <c r="R4" s="74"/>
      <c r="S4" s="58"/>
      <c r="T4" s="59"/>
      <c r="U4" s="55">
        <f>B4</f>
        <v>0</v>
      </c>
      <c r="V4" s="56"/>
      <c r="W4" s="56"/>
      <c r="X4" s="56"/>
      <c r="Y4" s="56"/>
      <c r="Z4" s="56"/>
      <c r="AA4" s="56"/>
      <c r="AB4" s="56"/>
      <c r="AC4" s="56"/>
      <c r="AD4" s="56"/>
      <c r="AE4" s="56"/>
      <c r="AF4" s="57"/>
      <c r="AG4" s="56">
        <f>U4</f>
        <v>0</v>
      </c>
      <c r="AH4" s="56">
        <f>U4</f>
        <v>0</v>
      </c>
    </row>
    <row r="5" spans="1:34" x14ac:dyDescent="0.35">
      <c r="C5" s="14"/>
      <c r="D5" s="14"/>
      <c r="E5" s="14"/>
      <c r="F5" s="14"/>
      <c r="G5" s="14"/>
      <c r="H5" s="14"/>
      <c r="I5" s="14"/>
      <c r="J5" s="14"/>
      <c r="K5" s="14"/>
      <c r="L5" s="14"/>
      <c r="M5" s="14"/>
      <c r="N5" s="23">
        <f>SUM(C5:M5)</f>
        <v>0</v>
      </c>
      <c r="O5" s="10" t="s">
        <v>56</v>
      </c>
      <c r="P5" s="62" t="s">
        <v>57</v>
      </c>
      <c r="Q5" s="63"/>
      <c r="R5" s="63"/>
      <c r="S5" s="24">
        <f>SUM(V5:AF5)</f>
        <v>479881.86553407513</v>
      </c>
      <c r="T5" s="37"/>
      <c r="U5" s="61"/>
      <c r="V5" s="14">
        <f>-(C6+C5)</f>
        <v>176382.05371791057</v>
      </c>
      <c r="W5" s="14">
        <f>-(D6+D5)</f>
        <v>58700.534309774113</v>
      </c>
      <c r="X5" s="14"/>
      <c r="Y5" s="14">
        <f>-(F6+F5)</f>
        <v>146510.0653778915</v>
      </c>
      <c r="Z5" s="14">
        <f>-(G6+G5)</f>
        <v>45643.901447408869</v>
      </c>
      <c r="AA5" s="14"/>
      <c r="AB5" s="14"/>
      <c r="AC5" s="14">
        <f>-(J6+J5)</f>
        <v>52645.310681090043</v>
      </c>
      <c r="AD5" s="14"/>
      <c r="AE5" s="14"/>
      <c r="AF5" s="14"/>
      <c r="AG5" s="14"/>
      <c r="AH5" s="14"/>
    </row>
    <row r="6" spans="1:34" x14ac:dyDescent="0.35">
      <c r="C6" s="14">
        <f>-V6</f>
        <v>-176382.05371791057</v>
      </c>
      <c r="D6" s="14">
        <f>-W6</f>
        <v>-58700.534309774113</v>
      </c>
      <c r="E6" s="14"/>
      <c r="F6" s="14">
        <f>-Y6</f>
        <v>-146510.0653778915</v>
      </c>
      <c r="G6" s="14">
        <f>-Z6</f>
        <v>-45643.901447408869</v>
      </c>
      <c r="H6" s="14"/>
      <c r="I6" s="14"/>
      <c r="J6" s="14">
        <f>-AC6</f>
        <v>-52645.310681090043</v>
      </c>
      <c r="K6" s="14"/>
      <c r="L6" s="18"/>
      <c r="M6" s="18"/>
      <c r="N6" s="23">
        <f t="shared" ref="N6:N15" si="0">SUM(C6:M6)</f>
        <v>-479881.86553407513</v>
      </c>
      <c r="O6" s="22" t="s">
        <v>58</v>
      </c>
      <c r="P6" s="65" t="s">
        <v>59</v>
      </c>
      <c r="Q6" s="66"/>
      <c r="R6" s="66"/>
      <c r="S6" s="24">
        <f t="shared" ref="S6:S25" si="1">SUM(V6:AF6)</f>
        <v>479881.86553407513</v>
      </c>
      <c r="T6" s="37"/>
      <c r="U6" s="61"/>
      <c r="V6" s="14">
        <f>-(C16+C8)</f>
        <v>176382.05371791057</v>
      </c>
      <c r="W6" s="14">
        <f>-(D16+D8)</f>
        <v>58700.534309774113</v>
      </c>
      <c r="X6" s="14"/>
      <c r="Y6" s="14">
        <f>-(F16+F8)</f>
        <v>146510.0653778915</v>
      </c>
      <c r="Z6" s="14">
        <f>-(G16+G8)</f>
        <v>45643.901447408869</v>
      </c>
      <c r="AA6" s="14"/>
      <c r="AB6" s="14"/>
      <c r="AC6" s="14">
        <f>-(J16+J8)</f>
        <v>52645.310681090043</v>
      </c>
      <c r="AD6" s="14"/>
      <c r="AE6" s="14"/>
      <c r="AF6" s="14"/>
      <c r="AG6" s="21">
        <f>-(N6+S6)</f>
        <v>0</v>
      </c>
      <c r="AH6" s="21"/>
    </row>
    <row r="7" spans="1:34" x14ac:dyDescent="0.35"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23">
        <f t="shared" si="0"/>
        <v>0</v>
      </c>
      <c r="O7" s="22" t="s">
        <v>60</v>
      </c>
      <c r="P7" s="67" t="s">
        <v>61</v>
      </c>
      <c r="Q7" s="66"/>
      <c r="R7" s="66"/>
      <c r="S7" s="24">
        <f t="shared" si="1"/>
        <v>39065.387832347391</v>
      </c>
      <c r="T7" s="37"/>
      <c r="U7" s="61"/>
      <c r="V7" s="14"/>
      <c r="W7" s="14"/>
      <c r="X7" s="14"/>
      <c r="Y7" s="14"/>
      <c r="Z7" s="16"/>
      <c r="AA7" s="19">
        <f>-H8</f>
        <v>23641.177541116864</v>
      </c>
      <c r="AB7" s="19">
        <f>-I8</f>
        <v>15424.210291230524</v>
      </c>
      <c r="AC7" s="14"/>
      <c r="AD7" s="14"/>
      <c r="AE7" s="14"/>
      <c r="AF7" s="14"/>
      <c r="AG7" s="14"/>
      <c r="AH7" s="14"/>
    </row>
    <row r="8" spans="1:34" x14ac:dyDescent="0.35">
      <c r="C8" s="14">
        <f>SUM(C9:C13)</f>
        <v>-146737.4194735667</v>
      </c>
      <c r="D8" s="14">
        <f t="shared" ref="D8:M8" si="2">SUM(D9:D13)</f>
        <v>-58596.969288400069</v>
      </c>
      <c r="E8" s="14">
        <f t="shared" si="2"/>
        <v>-18855.766351252005</v>
      </c>
      <c r="F8" s="14">
        <f t="shared" si="2"/>
        <v>-88193.810572624279</v>
      </c>
      <c r="G8" s="14">
        <f t="shared" si="2"/>
        <v>-45643.901447408869</v>
      </c>
      <c r="H8" s="14">
        <f t="shared" si="2"/>
        <v>-23641.177541116864</v>
      </c>
      <c r="I8" s="14">
        <f t="shared" si="2"/>
        <v>-15424.210291230524</v>
      </c>
      <c r="J8" s="14">
        <f t="shared" si="2"/>
        <v>-12691.990793707291</v>
      </c>
      <c r="K8" s="14">
        <f t="shared" si="2"/>
        <v>-8110.3946325434554</v>
      </c>
      <c r="L8" s="14">
        <f t="shared" si="2"/>
        <v>-1639.3725439999998</v>
      </c>
      <c r="M8" s="14">
        <f t="shared" si="2"/>
        <v>0</v>
      </c>
      <c r="N8" s="23">
        <f t="shared" si="0"/>
        <v>-419535.01293585007</v>
      </c>
      <c r="O8" s="22" t="s">
        <v>62</v>
      </c>
      <c r="P8" s="67" t="s">
        <v>63</v>
      </c>
      <c r="Q8" s="66"/>
      <c r="R8" s="66"/>
      <c r="S8" s="24">
        <f t="shared" si="1"/>
        <v>211154.25025388092</v>
      </c>
      <c r="T8" s="37"/>
      <c r="U8" s="61"/>
      <c r="V8" s="14">
        <f>SUM(V9:V13)</f>
        <v>0</v>
      </c>
      <c r="W8" s="14"/>
      <c r="X8" s="14">
        <f>(E14+E8)*-1</f>
        <v>54974.260365807044</v>
      </c>
      <c r="Y8" s="14"/>
      <c r="Z8" s="14"/>
      <c r="AA8" s="14"/>
      <c r="AB8" s="14"/>
      <c r="AC8" s="14"/>
      <c r="AD8" s="14">
        <f>(K14+K8)*-1</f>
        <v>141116.92416342284</v>
      </c>
      <c r="AE8" s="14">
        <f>(L14+L8)*-1</f>
        <v>15063.065724651025</v>
      </c>
      <c r="AF8" s="14"/>
      <c r="AG8" s="21">
        <f>-(N8+S8)</f>
        <v>208380.76268196915</v>
      </c>
      <c r="AH8" s="21">
        <f>SUM(AH9:AH13)</f>
        <v>20400.140295323574</v>
      </c>
    </row>
    <row r="9" spans="1:34" x14ac:dyDescent="0.35">
      <c r="C9" s="26">
        <f>-($AD$9+$H$9+$I$9)/$T$9*'KF World'!$I108</f>
        <v>-113826.44175066917</v>
      </c>
      <c r="D9" s="26">
        <f>-($AD$9+$H$9+$I$9)/$T$9*'KF World'!$I109</f>
        <v>-1994.7126811135997</v>
      </c>
      <c r="E9" s="26">
        <f>-($AD$9+$H$9+$I$9)/$T$9*'KF World'!$I110</f>
        <v>-9452.9729571585467</v>
      </c>
      <c r="F9" s="26">
        <f>-($AD$9+$H$9+$I$9)/$T$9*'KF World'!$I111</f>
        <v>-58922.649551355375</v>
      </c>
      <c r="G9" s="26">
        <f>-($AD$9+$H$9+$I$9)/$T$9*'KF World'!$I112</f>
        <v>-45499.462882463871</v>
      </c>
      <c r="H9" s="26">
        <f>AD9*'KF World'!I93*-1</f>
        <v>-23641.177541116864</v>
      </c>
      <c r="I9" s="26">
        <f>AD9*'KF World'!I94*-1</f>
        <v>-15232.56479574424</v>
      </c>
      <c r="J9" s="26">
        <f>-($AD$9+$H$9+$I$9)/$T$9*'KF World'!$I113</f>
        <v>-8790.2033579533745</v>
      </c>
      <c r="K9" s="25"/>
      <c r="L9" s="25"/>
      <c r="M9" s="25"/>
      <c r="N9" s="23">
        <f t="shared" si="0"/>
        <v>-277360.18551757501</v>
      </c>
      <c r="O9" s="6" t="s">
        <v>64</v>
      </c>
      <c r="P9" s="68" t="s">
        <v>65</v>
      </c>
      <c r="Q9" s="69" t="s">
        <v>63</v>
      </c>
      <c r="R9" s="69"/>
      <c r="S9" s="24">
        <f t="shared" si="1"/>
        <v>126040.38963219324</v>
      </c>
      <c r="T9" s="37">
        <f>'KF World'!I103</f>
        <v>0.36549938073117771</v>
      </c>
      <c r="U9" s="61"/>
      <c r="V9" s="28"/>
      <c r="W9" s="28"/>
      <c r="X9" s="28"/>
      <c r="Y9" s="28"/>
      <c r="Z9" s="28"/>
      <c r="AA9" s="28"/>
      <c r="AB9" s="28"/>
      <c r="AC9" s="28"/>
      <c r="AD9" s="28">
        <f>AD8-AD10</f>
        <v>126040.38963219324</v>
      </c>
      <c r="AE9" s="28"/>
      <c r="AF9" s="28"/>
      <c r="AG9" s="29">
        <f>-(S9+N9)</f>
        <v>151319.79588538175</v>
      </c>
      <c r="AH9" s="29">
        <f>-(C9*Emissionsfaktorer!$B$2*(1-'KF World'!I133)+D9*Emissionsfaktorer!$B$3+E9*Emissionsfaktorer!$B$4*(1-'KF World'!I134)+F9*Emissionsfaktorer!$B$5*(1-'KF World'!I135)+G9*Emissionsfaktorer!$B$6+H9*Emissionsfaktorer!$B$7+I9*Emissionsfaktorer!$B$8-J9*Emissionsfaktorer!B13*'KF World'!I136+K9*Emissionsfaktorer!$B$10+L9*Emissionsfaktorer!$B$11+M9*Emissionsfaktorer!$B$12)</f>
        <v>14890.528935484877</v>
      </c>
    </row>
    <row r="10" spans="1:34" x14ac:dyDescent="0.35">
      <c r="C10" s="26">
        <f>-($AD$10+$AE$10+$H$10+$I$10)/$T$10*'KF World'!$I115</f>
        <v>-28550.028206062267</v>
      </c>
      <c r="D10" s="26">
        <f>-($AD$10+$AE$10+$H$10+$I$10)/$T$10*'KF World'!$I116</f>
        <v>-0.88664421626571299</v>
      </c>
      <c r="E10" s="26">
        <f>-($AD$10+$AE$10+$H$10+$I$10)/$T$10*'KF World'!$I117</f>
        <v>-653.75233545991898</v>
      </c>
      <c r="F10" s="26">
        <f>-($AD$10+$AE$10+$H$10+$I$10)/$T$10*'KF World'!$I118</f>
        <v>-14077.419106263347</v>
      </c>
      <c r="G10" s="26">
        <f>-($AD$10+$AE$10+$H$10+$I$10)/$T$10*'KF World'!$I119</f>
        <v>-144.43856494500019</v>
      </c>
      <c r="H10" s="26"/>
      <c r="I10" s="26">
        <f>(AD10+AE10)*'KF World'!I97*-1</f>
        <v>-123.33035741692754</v>
      </c>
      <c r="J10" s="26">
        <f>-($AD$10+$AE$10+$H$10+$I$10)/$T$10*'KF World'!$I120</f>
        <v>-2731.2863976299509</v>
      </c>
      <c r="K10" s="25"/>
      <c r="L10" s="25"/>
      <c r="M10" s="25"/>
      <c r="N10" s="23">
        <f t="shared" si="0"/>
        <v>-46281.141611993669</v>
      </c>
      <c r="O10" s="6" t="s">
        <v>66</v>
      </c>
      <c r="P10" s="68" t="s">
        <v>67</v>
      </c>
      <c r="Q10" s="69" t="s">
        <v>63</v>
      </c>
      <c r="R10" s="69"/>
      <c r="S10" s="24">
        <f t="shared" si="1"/>
        <v>25847.146487844155</v>
      </c>
      <c r="T10" s="37">
        <f>'KF World'!I104</f>
        <v>0.5573014714357063</v>
      </c>
      <c r="U10" s="61"/>
      <c r="V10" s="28"/>
      <c r="W10" s="28"/>
      <c r="X10" s="28"/>
      <c r="Y10" s="28"/>
      <c r="Z10" s="28"/>
      <c r="AA10" s="28"/>
      <c r="AB10" s="28"/>
      <c r="AC10" s="28"/>
      <c r="AD10" s="28">
        <f>AE10*'KF World'!I89</f>
        <v>15076.534531229596</v>
      </c>
      <c r="AE10" s="28">
        <f>AE8*'KF World'!I84</f>
        <v>10770.611956614559</v>
      </c>
      <c r="AF10" s="28"/>
      <c r="AG10" s="29">
        <f t="shared" ref="AG10:AG11" si="3">-(S10+N10)</f>
        <v>20433.995124149515</v>
      </c>
      <c r="AH10" s="29">
        <f>-(C10*Emissionsfaktorer!$B$2*(1-'KF World'!I134)+D10*Emissionsfaktorer!$B$3+E10*Emissionsfaktorer!$B$4*(1-'KF World'!I135)+F10*Emissionsfaktorer!$B$5*(1-'KF World'!I136)+G10*Emissionsfaktorer!$B$6+H10*Emissionsfaktorer!$B$7+I10*Emissionsfaktorer!$B$8-J10*Emissionsfaktorer!B14*'KF World'!I141+K10*Emissionsfaktorer!$B$10+L10*Emissionsfaktorer!$B$11+M10*Emissionsfaktorer!$B$12)</f>
        <v>3564.35074612788</v>
      </c>
    </row>
    <row r="11" spans="1:34" x14ac:dyDescent="0.35">
      <c r="C11" s="26">
        <f>-($AE$11+$H$11+$I$11)/$T$11*'KF World'!$I122</f>
        <v>-1012.822524835273</v>
      </c>
      <c r="D11" s="26">
        <f>-($AE$11+$H$11+$I$11)/$T$11*'KF World'!$I123</f>
        <v>-19.88234298597569</v>
      </c>
      <c r="E11" s="26">
        <f>-($AE$11+$H$11+$I$11)/$T$11*'KF World'!$I124</f>
        <v>-414.62881863353948</v>
      </c>
      <c r="F11" s="26">
        <f>-($AE$11+$H$11+$I$11)/$T$11*'KF World'!$I125</f>
        <v>-2518.7944110055714</v>
      </c>
      <c r="G11" s="26">
        <f>-($AE$11+$H$11+$I$11)/$T$11*'KF World'!$I126</f>
        <v>0</v>
      </c>
      <c r="H11" s="26"/>
      <c r="I11" s="26">
        <f>AE11*'KF World'!I100*-1</f>
        <v>-68.315138069355953</v>
      </c>
      <c r="J11" s="26">
        <f>-($AE$11+$H$11+$I$11)/$T$11*'KF World'!$I127</f>
        <v>-522.61558212396562</v>
      </c>
      <c r="K11" s="28">
        <f>AE11*'KF World'!I87*-1</f>
        <v>-30.019816543456166</v>
      </c>
      <c r="L11" s="25"/>
      <c r="M11" s="25"/>
      <c r="N11" s="23">
        <f t="shared" si="0"/>
        <v>-4587.078634197137</v>
      </c>
      <c r="O11" s="6" t="s">
        <v>68</v>
      </c>
      <c r="P11" s="64" t="s">
        <v>69</v>
      </c>
      <c r="Q11" s="69" t="s">
        <v>63</v>
      </c>
      <c r="R11" s="69"/>
      <c r="S11" s="24">
        <f t="shared" si="1"/>
        <v>4292.4537680364665</v>
      </c>
      <c r="T11" s="37">
        <f>'KF World'!I105</f>
        <v>0.94105142362646144</v>
      </c>
      <c r="U11" s="61"/>
      <c r="V11" s="28"/>
      <c r="W11" s="28"/>
      <c r="X11" s="28"/>
      <c r="Y11" s="28"/>
      <c r="Z11" s="28"/>
      <c r="AA11" s="28"/>
      <c r="AB11" s="28"/>
      <c r="AC11" s="28"/>
      <c r="AD11" s="28"/>
      <c r="AE11" s="28">
        <f>AE8*'KF World'!I85</f>
        <v>4292.4537680364665</v>
      </c>
      <c r="AF11" s="28"/>
      <c r="AG11" s="29">
        <f t="shared" si="3"/>
        <v>294.62486616067054</v>
      </c>
      <c r="AH11" s="29">
        <f>-(C11*Emissionsfaktorer!$B$2+D11*Emissionsfaktorer!$B$3+E11*Emissionsfaktorer!$B$4+F11*Emissionsfaktorer!$B$5+G11*Emissionsfaktorer!$B$6+H11*Emissionsfaktorer!$B$7+I11*Emissionsfaktorer!$B$8+J11*Emissionsfaktorer!$B$9+K11*Emissionsfaktorer!$B$10+L11*Emissionsfaktorer!$B$11+M11*Emissionsfaktorer!$B$12)</f>
        <v>271.30121150281752</v>
      </c>
    </row>
    <row r="12" spans="1:34" x14ac:dyDescent="0.35">
      <c r="C12" s="26"/>
      <c r="D12" s="26">
        <f>-X12/T12*'KF World'!I129</f>
        <v>-56168.252852084224</v>
      </c>
      <c r="E12" s="25"/>
      <c r="F12" s="26"/>
      <c r="G12" s="26"/>
      <c r="H12" s="26"/>
      <c r="I12" s="26"/>
      <c r="J12" s="27">
        <f>-X12/T12*'KF World'!I130</f>
        <v>0</v>
      </c>
      <c r="K12" s="25"/>
      <c r="L12" s="25"/>
      <c r="M12" s="25"/>
      <c r="N12" s="23">
        <f t="shared" si="0"/>
        <v>-56168.252852084224</v>
      </c>
      <c r="O12" s="6" t="s">
        <v>70</v>
      </c>
      <c r="P12" s="64" t="s">
        <v>71</v>
      </c>
      <c r="Q12" s="69" t="s">
        <v>63</v>
      </c>
      <c r="R12" s="69"/>
      <c r="S12" s="24">
        <f t="shared" si="1"/>
        <v>54974.260365807044</v>
      </c>
      <c r="T12" s="37">
        <f>'KF World'!I106</f>
        <v>0.97874257386247188</v>
      </c>
      <c r="U12" s="61"/>
      <c r="V12" s="28"/>
      <c r="W12" s="28"/>
      <c r="X12" s="28">
        <f>-(E9+E10+E11+E13+E14)</f>
        <v>54974.260365807044</v>
      </c>
      <c r="Y12" s="28"/>
      <c r="Z12" s="28"/>
      <c r="AA12" s="28"/>
      <c r="AB12" s="28"/>
      <c r="AC12" s="28"/>
      <c r="AD12" s="28"/>
      <c r="AE12" s="28"/>
      <c r="AF12" s="28"/>
      <c r="AG12" s="29">
        <f>-(S12+N12)</f>
        <v>1193.9924862771804</v>
      </c>
      <c r="AH12" s="29">
        <f>J12*Emissionsfaktorer!B4</f>
        <v>0</v>
      </c>
    </row>
    <row r="13" spans="1:34" x14ac:dyDescent="0.35">
      <c r="C13" s="28">
        <f>N13*'KF World'!I78</f>
        <v>-3348.126992</v>
      </c>
      <c r="D13" s="28">
        <f>N13*'KF World'!I80</f>
        <v>-413.23476799999997</v>
      </c>
      <c r="E13" s="28">
        <f>N13*'KF World'!I81</f>
        <v>-8334.4122399999997</v>
      </c>
      <c r="F13" s="28">
        <f>N13*'KF World'!I79</f>
        <v>-12674.947504</v>
      </c>
      <c r="G13" s="28"/>
      <c r="H13" s="28"/>
      <c r="I13" s="28"/>
      <c r="J13" s="36">
        <f>N13*'KF World'!I82</f>
        <v>-647.88545599999998</v>
      </c>
      <c r="K13" s="28">
        <f>N13*'KF World'!I76</f>
        <v>-8080.3748159999996</v>
      </c>
      <c r="L13" s="28">
        <f>N13*'KF World'!I77</f>
        <v>-1639.3725439999998</v>
      </c>
      <c r="M13" s="25"/>
      <c r="N13" s="23">
        <f>N16*'KF World'!I74</f>
        <v>-35138.354319999999</v>
      </c>
      <c r="O13" s="6" t="s">
        <v>72</v>
      </c>
      <c r="P13" s="64" t="s">
        <v>73</v>
      </c>
      <c r="Q13" s="69" t="s">
        <v>63</v>
      </c>
      <c r="R13" s="69"/>
      <c r="S13" s="24">
        <f t="shared" si="1"/>
        <v>0</v>
      </c>
      <c r="T13" s="37">
        <v>0</v>
      </c>
      <c r="U13" s="61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9">
        <f>-(S13+N13)</f>
        <v>35138.354319999999</v>
      </c>
      <c r="AH13" s="29">
        <f>-(C13*Emissionsfaktorer!$B$2+D13*Emissionsfaktorer!$B$3+E13*Emissionsfaktorer!$B$4+F13*Emissionsfaktorer!$B$5+G13*Emissionsfaktorer!$B$6+H13*Emissionsfaktorer!$B$7+I13*Emissionsfaktorer!$B$8+J13*Emissionsfaktorer!$B$9+K13*Emissionsfaktorer!$B$10+L13*Emissionsfaktorer!$B$11+M13*Emissionsfaktorer!$B$12)</f>
        <v>1673.959402208</v>
      </c>
    </row>
    <row r="14" spans="1:34" x14ac:dyDescent="0.35">
      <c r="C14" s="15"/>
      <c r="D14" s="15"/>
      <c r="E14" s="16">
        <f>-X14*1</f>
        <v>-36118.494014555035</v>
      </c>
      <c r="F14" s="15"/>
      <c r="G14" s="15"/>
      <c r="H14" s="15"/>
      <c r="I14" s="15"/>
      <c r="J14" s="20"/>
      <c r="K14" s="16">
        <f>-AD14*(1+'KF World'!I71)</f>
        <v>-133006.52953087937</v>
      </c>
      <c r="L14" s="16">
        <f>-AE14*(1+'KF World'!I72)</f>
        <v>-13423.693180651026</v>
      </c>
      <c r="M14" s="16"/>
      <c r="N14" s="23">
        <f t="shared" si="0"/>
        <v>-182548.71672608543</v>
      </c>
      <c r="O14" s="22" t="s">
        <v>74</v>
      </c>
      <c r="P14" s="66" t="s">
        <v>75</v>
      </c>
      <c r="Q14" s="70"/>
      <c r="R14" s="70"/>
      <c r="S14" s="24">
        <f t="shared" si="1"/>
        <v>170767.22507831341</v>
      </c>
      <c r="T14" s="37"/>
      <c r="U14" s="61"/>
      <c r="V14" s="16"/>
      <c r="W14" s="16"/>
      <c r="X14" s="16">
        <f>-E16</f>
        <v>36118.494014555035</v>
      </c>
      <c r="Y14" s="16"/>
      <c r="Z14" s="16"/>
      <c r="AA14" s="16"/>
      <c r="AB14" s="16"/>
      <c r="AC14" s="16"/>
      <c r="AD14" s="16">
        <f>-K16</f>
        <v>122096.15059652567</v>
      </c>
      <c r="AE14" s="16">
        <f>-L16</f>
        <v>12552.580467232718</v>
      </c>
      <c r="AF14" s="16"/>
      <c r="AG14" s="21">
        <f>-(N14+S14)</f>
        <v>11781.491647772025</v>
      </c>
      <c r="AH14" s="21"/>
    </row>
    <row r="15" spans="1:34" x14ac:dyDescent="0.35"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23">
        <f t="shared" si="0"/>
        <v>0</v>
      </c>
      <c r="O15" s="22" t="s">
        <v>76</v>
      </c>
      <c r="P15" s="67" t="s">
        <v>77</v>
      </c>
      <c r="Q15" s="66"/>
      <c r="R15" s="66"/>
      <c r="S15" s="24">
        <f t="shared" si="1"/>
        <v>2022.8804317568322</v>
      </c>
      <c r="T15" s="37"/>
      <c r="U15" s="61"/>
      <c r="V15" s="14"/>
      <c r="W15" s="14"/>
      <c r="X15" s="14"/>
      <c r="Y15" s="14"/>
      <c r="Z15" s="14"/>
      <c r="AA15" s="14"/>
      <c r="AB15" s="14">
        <f>I16*-1</f>
        <v>2022.8804317568322</v>
      </c>
      <c r="AC15" s="14"/>
      <c r="AD15" s="14"/>
      <c r="AE15" s="14"/>
      <c r="AF15" s="14"/>
      <c r="AG15" s="14"/>
      <c r="AH15" s="14"/>
    </row>
    <row r="16" spans="1:34" x14ac:dyDescent="0.35">
      <c r="C16" s="14">
        <f t="shared" ref="C16:M16" si="4">SUM(C17:C19)</f>
        <v>-29644.634244343866</v>
      </c>
      <c r="D16" s="14">
        <f t="shared" si="4"/>
        <v>-103.5650213740422</v>
      </c>
      <c r="E16" s="14">
        <f t="shared" si="4"/>
        <v>-36118.494014555035</v>
      </c>
      <c r="F16" s="14">
        <f t="shared" si="4"/>
        <v>-58316.254805267221</v>
      </c>
      <c r="G16" s="14">
        <f t="shared" si="4"/>
        <v>0</v>
      </c>
      <c r="H16" s="14">
        <f t="shared" si="4"/>
        <v>0</v>
      </c>
      <c r="I16" s="14">
        <f t="shared" si="4"/>
        <v>-2022.8804317568322</v>
      </c>
      <c r="J16" s="14">
        <f t="shared" si="4"/>
        <v>-39953.31988738275</v>
      </c>
      <c r="K16" s="14">
        <f t="shared" si="4"/>
        <v>-122096.15059652567</v>
      </c>
      <c r="L16" s="14">
        <f t="shared" si="4"/>
        <v>-12552.580467232718</v>
      </c>
      <c r="M16" s="14">
        <f t="shared" si="4"/>
        <v>0</v>
      </c>
      <c r="N16" s="23">
        <f>'KF World'!I4</f>
        <v>-377724.84155199997</v>
      </c>
      <c r="O16" s="10" t="s">
        <v>78</v>
      </c>
      <c r="P16" s="71" t="s">
        <v>79</v>
      </c>
      <c r="Q16" s="71"/>
      <c r="R16" s="71"/>
      <c r="S16" s="24">
        <f t="shared" si="1"/>
        <v>254085.936916237</v>
      </c>
      <c r="T16" s="37"/>
      <c r="U16" s="61"/>
      <c r="V16" s="14"/>
      <c r="W16" s="14"/>
      <c r="X16" s="14"/>
      <c r="Y16" s="14"/>
      <c r="Z16" s="14"/>
      <c r="AA16" s="14"/>
      <c r="AB16" s="14"/>
      <c r="AC16" s="14"/>
      <c r="AD16" s="14"/>
      <c r="AE16" s="14"/>
      <c r="AF16" s="14">
        <f>SUM(AF17:AF19)</f>
        <v>254085.936916237</v>
      </c>
      <c r="AG16" s="14">
        <f t="shared" ref="AG16:AH16" si="5">SUM(AG17:AG19)</f>
        <v>46721.942552201144</v>
      </c>
      <c r="AH16" s="14">
        <f t="shared" si="5"/>
        <v>8885.2723222190834</v>
      </c>
    </row>
    <row r="17" spans="3:34" x14ac:dyDescent="0.35">
      <c r="C17" s="25">
        <f>AF17*'KF World'!I14/T17*'KF World'!I138/'KF World'!I$138*-1</f>
        <v>-23524.280922607679</v>
      </c>
      <c r="D17" s="25">
        <f>AF17*'KF World'!I15/T17*'KF World'!I138/'KF World'!I$138*-1</f>
        <v>-103.5650213740422</v>
      </c>
      <c r="E17" s="25">
        <f>AF17*'KF World'!I16/T17*'KF World'!I138/'KF World'!I$138*-1</f>
        <v>-12031.604219116531</v>
      </c>
      <c r="F17" s="25">
        <f>AF17*'KF World'!I17/T17*'KF World'!I138/'KF World'!I$138*-1</f>
        <v>-27052.92306099883</v>
      </c>
      <c r="G17" s="25"/>
      <c r="H17" s="25"/>
      <c r="I17" s="25">
        <f>AF17*'KF World'!I18/T17*'KF World'!I141/'KF World'!I$141*-1</f>
        <v>-42.337380737708457</v>
      </c>
      <c r="J17" s="25">
        <f>AF17*'KF World'!I19*'KF World'!I138/T17/'KF World'!I$138*-1</f>
        <v>-8452.8527665236779</v>
      </c>
      <c r="K17" s="25">
        <f>AF17*'KF World'!I20*'KF World'!I140/T17/'KF World'!I$140*-1</f>
        <v>-40544.190090284705</v>
      </c>
      <c r="L17" s="25">
        <f>AF17*'KF World'!I21*'KF World'!I141/T17/'KF World'!I$141*-1</f>
        <v>-5869.6511513952164</v>
      </c>
      <c r="M17" s="25"/>
      <c r="N17" s="23">
        <f>SUM(C17:L17)</f>
        <v>-117621.40461303839</v>
      </c>
      <c r="O17" s="6" t="s">
        <v>80</v>
      </c>
      <c r="P17" s="64" t="s">
        <v>81</v>
      </c>
      <c r="Q17" s="69" t="s">
        <v>79</v>
      </c>
      <c r="R17" s="69"/>
      <c r="S17" s="24">
        <f t="shared" si="1"/>
        <v>101361.14991040001</v>
      </c>
      <c r="T17" s="37">
        <f>('KF World'!I14+'KF World'!I15+'KF World'!I16+'KF World'!I17+'KF World'!I19)*'KF World'!I138+('KF World'!I18+'KF World'!I21)*'KF World'!I141+'KF World'!I20*'KF World'!I140</f>
        <v>0.86175768980031453</v>
      </c>
      <c r="U17" s="61"/>
      <c r="V17" s="25"/>
      <c r="W17" s="25"/>
      <c r="X17" s="25"/>
      <c r="Y17" s="25"/>
      <c r="Z17" s="25"/>
      <c r="AA17" s="25"/>
      <c r="AB17" s="25"/>
      <c r="AC17" s="25"/>
      <c r="AD17" s="25"/>
      <c r="AE17" s="25"/>
      <c r="AF17" s="25">
        <f>'KF World'!I4*'KF World'!I6*(('KF World'!G14+'KF World'!G15+'KF World'!G16+'KF World'!G17+'KF World'!G19)*'KF World'!G138+('KF World'!G18+'KF World'!G21)*'KF World'!G141+'KF World'!G20*'KF World'!G140)*-1</f>
        <v>101361.14991040001</v>
      </c>
      <c r="AG17" s="25">
        <f>(S17+SUM(C17:M17))*-1</f>
        <v>16260.254702638384</v>
      </c>
      <c r="AH17" s="29">
        <f>-(C17*Emissionsfaktorer!$B$2+D17*Emissionsfaktorer!$B$3+E17*Emissionsfaktorer!$B$4+F17*Emissionsfaktorer!$B$5+G17*Emissionsfaktorer!$B$6+H17*Emissionsfaktorer!$B$7+I17*Emissionsfaktorer!$B$8+J17*Emissionsfaktorer!$B$9+K17*Emissionsfaktorer!$B$10+L17*Emissionsfaktorer!$B$11+M17*Emissionsfaktorer!$B$12)</f>
        <v>4691.2252227775198</v>
      </c>
    </row>
    <row r="18" spans="3:34" x14ac:dyDescent="0.35">
      <c r="C18" s="25">
        <f>AF18*'KF World'!I23/T18*'KF World'!I139/'KF World'!I$139*-1</f>
        <v>-0.8322885698011171</v>
      </c>
      <c r="D18" s="25"/>
      <c r="E18" s="25">
        <f>AF18*'KF World'!I24/T18*'KF World'!I139/'KF World'!I$139*-1</f>
        <v>-5830.8880915632562</v>
      </c>
      <c r="F18" s="25">
        <f>AF18*'KF World'!I25/T18*'KF World'!I139/'KF World'!I$139*-1</f>
        <v>-1840.0643993669034</v>
      </c>
      <c r="G18" s="25"/>
      <c r="H18" s="25"/>
      <c r="I18" s="25">
        <f>AF18*'KF World'!I26/T18*'KF World'!I141/'KF World'!I$141*-1</f>
        <v>0</v>
      </c>
      <c r="J18" s="25">
        <f>AF18*'KF World'!I27/T18*'KF World'!I139/'KF World'!I$139*-1</f>
        <v>-1407.6983391341837</v>
      </c>
      <c r="K18" s="25">
        <f>AF18*'KF World'!I28/T18*'KF World'!I140/'KF World'!I$140*-1</f>
        <v>-36317.932474536596</v>
      </c>
      <c r="L18" s="25">
        <f>AF18*'KF World'!I29/T18*'KF World'!I141/'KF World'!I$141*-1</f>
        <v>0</v>
      </c>
      <c r="M18" s="25"/>
      <c r="N18" s="23">
        <f>SUM(C18:L18)</f>
        <v>-45397.415593170736</v>
      </c>
      <c r="O18" s="6" t="s">
        <v>82</v>
      </c>
      <c r="P18" s="64" t="s">
        <v>83</v>
      </c>
      <c r="Q18" s="69" t="s">
        <v>79</v>
      </c>
      <c r="R18" s="69"/>
      <c r="S18" s="24">
        <f t="shared" si="1"/>
        <v>37225.880786400005</v>
      </c>
      <c r="T18" s="37">
        <f>('KF World'!I23+'KF World'!I24+'KF World'!I25+'KF World'!I27)*'KF World'!I139+('KF World'!I26+'KF World'!I29)*'KF World'!I141+'KF World'!I28*'KF World'!I140</f>
        <v>0.82</v>
      </c>
      <c r="U18" s="61"/>
      <c r="V18" s="25"/>
      <c r="W18" s="25"/>
      <c r="X18" s="25"/>
      <c r="Y18" s="25"/>
      <c r="Z18" s="25"/>
      <c r="AA18" s="25"/>
      <c r="AB18" s="25"/>
      <c r="AC18" s="25"/>
      <c r="AD18" s="25"/>
      <c r="AE18" s="25"/>
      <c r="AF18" s="25">
        <f>'KF World'!I4*'KF World'!I7*-1*(('KF World'!G23+'KF World'!G24+'KF World'!G25+'KF World'!G27)*'KF World'!G139+('KF World'!G26+'KF World'!G29)*'KF World'!G141+'KF World'!G28*'KF World'!G140)</f>
        <v>37225.880786400005</v>
      </c>
      <c r="AG18" s="25">
        <f>(S18+SUM(C18:M18))*-1</f>
        <v>8171.5348067707309</v>
      </c>
      <c r="AH18" s="29">
        <f>-(C18*Emissionsfaktorer!$B$2+D18*Emissionsfaktorer!$B$3+E18*Emissionsfaktorer!$B$4+F18*Emissionsfaktorer!$B$5+G18*Emissionsfaktorer!$B$6+H18*Emissionsfaktorer!$B$7+I18*Emissionsfaktorer!$B$8+J18*Emissionsfaktorer!$B$9+K18*Emissionsfaktorer!$B$10+L18*Emissionsfaktorer!$B$11+M18*Emissionsfaktorer!$B$12)</f>
        <v>548.110233136852</v>
      </c>
    </row>
    <row r="19" spans="3:34" x14ac:dyDescent="0.35">
      <c r="C19" s="25">
        <f>SUM(C20:C24)</f>
        <v>-6119.5210331663866</v>
      </c>
      <c r="D19" s="25">
        <f t="shared" ref="D19:M19" si="6">SUM(D20:D24)</f>
        <v>0</v>
      </c>
      <c r="E19" s="25">
        <f t="shared" si="6"/>
        <v>-18256.001703875248</v>
      </c>
      <c r="F19" s="25">
        <f t="shared" si="6"/>
        <v>-29423.267344901491</v>
      </c>
      <c r="G19" s="25">
        <f t="shared" si="6"/>
        <v>0</v>
      </c>
      <c r="H19" s="25">
        <f t="shared" si="6"/>
        <v>0</v>
      </c>
      <c r="I19" s="25">
        <f t="shared" si="6"/>
        <v>-1980.5430510191238</v>
      </c>
      <c r="J19" s="25">
        <f t="shared" si="6"/>
        <v>-30092.768781724892</v>
      </c>
      <c r="K19" s="25">
        <f t="shared" si="6"/>
        <v>-45234.028031704373</v>
      </c>
      <c r="L19" s="25">
        <f t="shared" si="6"/>
        <v>-6682.9293158375003</v>
      </c>
      <c r="M19" s="25">
        <f t="shared" si="6"/>
        <v>0</v>
      </c>
      <c r="N19" s="23">
        <f>SUM(N20:N24)</f>
        <v>-137789.05926222901</v>
      </c>
      <c r="O19" s="6" t="s">
        <v>84</v>
      </c>
      <c r="P19" s="64" t="s">
        <v>85</v>
      </c>
      <c r="Q19" s="69" t="s">
        <v>79</v>
      </c>
      <c r="R19" s="69"/>
      <c r="S19" s="24">
        <f t="shared" si="1"/>
        <v>115498.90621943699</v>
      </c>
      <c r="T19" s="37">
        <v>0.8</v>
      </c>
      <c r="U19" s="61"/>
      <c r="V19" s="25">
        <f>SUM(V20:V24)</f>
        <v>0</v>
      </c>
      <c r="W19" s="25">
        <f t="shared" ref="W19:AH19" si="7">SUM(W20:W24)</f>
        <v>0</v>
      </c>
      <c r="X19" s="25">
        <f t="shared" si="7"/>
        <v>0</v>
      </c>
      <c r="Y19" s="25">
        <f t="shared" si="7"/>
        <v>0</v>
      </c>
      <c r="Z19" s="25">
        <f t="shared" si="7"/>
        <v>0</v>
      </c>
      <c r="AA19" s="25">
        <f t="shared" si="7"/>
        <v>0</v>
      </c>
      <c r="AB19" s="25">
        <f t="shared" si="7"/>
        <v>0</v>
      </c>
      <c r="AC19" s="25">
        <f t="shared" si="7"/>
        <v>0</v>
      </c>
      <c r="AD19" s="25">
        <f t="shared" si="7"/>
        <v>0</v>
      </c>
      <c r="AE19" s="25">
        <f t="shared" si="7"/>
        <v>0</v>
      </c>
      <c r="AF19" s="25">
        <f t="shared" si="7"/>
        <v>115498.90621943699</v>
      </c>
      <c r="AG19" s="25">
        <f t="shared" si="7"/>
        <v>22290.15304279203</v>
      </c>
      <c r="AH19" s="25">
        <f t="shared" si="7"/>
        <v>3645.9368663047107</v>
      </c>
    </row>
    <row r="20" spans="3:34" x14ac:dyDescent="0.35">
      <c r="C20" s="92">
        <f>AF20*'KF World'!I$31/T20*'KF World'!I$138/'KF World'!I$138*-1</f>
        <v>-3135.2495699172746</v>
      </c>
      <c r="D20" s="92"/>
      <c r="E20" s="92">
        <f>AF20*'KF World'!I32/T20*'KF World'!I$139/'KF World'!I$139*-1</f>
        <v>-9140.5314764778414</v>
      </c>
      <c r="F20" s="92">
        <f>AF20*'KF World'!I$33/T20*'KF World'!I$139/'KF World'!I$139*-1</f>
        <v>-20162.623040483268</v>
      </c>
      <c r="G20" s="92"/>
      <c r="H20" s="92"/>
      <c r="I20" s="92">
        <f>AF20*'KF World'!I$34/T20*'KF World'!I$141/'KF World'!I$141*-1</f>
        <v>-1464.3893746907174</v>
      </c>
      <c r="J20" s="92">
        <f>AF20*'KF World'!I$35/T20*'KF World'!I$139/'KF World'!I$139*-1</f>
        <v>-28211.467793576317</v>
      </c>
      <c r="K20" s="92">
        <f>AF20*'KF World'!I$36/T20*'KF World'!I$140/'KF World'!I$140*-1</f>
        <v>-21630.906510957753</v>
      </c>
      <c r="L20" s="92">
        <f>AF20*'KF World'!I$37/T20*'KF World'!I$141/'KF World'!I$141*-1</f>
        <v>-4571.4590901726606</v>
      </c>
      <c r="M20" s="92"/>
      <c r="N20" s="23">
        <f>SUM(C20:L20)</f>
        <v>-88316.626856275834</v>
      </c>
      <c r="O20" s="84" t="s">
        <v>86</v>
      </c>
      <c r="P20" s="85" t="s">
        <v>87</v>
      </c>
      <c r="Q20" s="86" t="s">
        <v>85</v>
      </c>
      <c r="R20" s="86"/>
      <c r="S20" s="24">
        <f t="shared" si="1"/>
        <v>75105.107154636993</v>
      </c>
      <c r="T20" s="37">
        <f>('KF World'!I31+'KF World'!I32+'KF World'!I33+'KF World'!I35)*'KF World'!I138+('KF World'!I34+'KF World'!I37)*'KF World'!I141+'KF World'!I36*'KF World'!I140</f>
        <v>0.85040733356880893</v>
      </c>
      <c r="U20" s="61"/>
      <c r="V20" s="92"/>
      <c r="W20" s="92"/>
      <c r="X20" s="92"/>
      <c r="Y20" s="92"/>
      <c r="Z20" s="92"/>
      <c r="AA20" s="92"/>
      <c r="AB20" s="92"/>
      <c r="AC20" s="92"/>
      <c r="AD20" s="92"/>
      <c r="AE20" s="92"/>
      <c r="AF20" s="92">
        <f>'KF World'!I4*'KF World'!I8*(('KF World'!G31+'KF World'!G32+'KF World'!G33+'KF World'!G35)*'KF World'!G138+('KF World'!G34+'KF World'!G37)*'KF World'!G141+'KF World'!G36*'KF World'!G140)*-1</f>
        <v>75105.107154636993</v>
      </c>
      <c r="AG20" s="92">
        <f>(N20+AF20)*-1</f>
        <v>13211.519701638841</v>
      </c>
      <c r="AH20" s="87">
        <f>-(C20*Emissionsfaktorer!$B$2+D20*Emissionsfaktorer!$B$3+E20*Emissionsfaktorer!$B$4+F20*Emissionsfaktorer!$B$5+G20*Emissionsfaktorer!$B$6+H20*Emissionsfaktorer!$B$7+I20*Emissionsfaktorer!$B$8+J20*Emissionsfaktorer!$B$9+K20*Emissionsfaktorer!$B$10+L20*Emissionsfaktorer!$B$11+M20*Emissionsfaktorer!$B$12)</f>
        <v>2141.7986146620033</v>
      </c>
    </row>
    <row r="21" spans="3:34" x14ac:dyDescent="0.35">
      <c r="C21" s="92">
        <f>AF21*'KF World'!I$39/T21*'KF World'!I$138/'KF World'!I$138*-1</f>
        <v>-1267.2544044315143</v>
      </c>
      <c r="D21" s="92"/>
      <c r="E21" s="92">
        <f>AF21*'KF World'!I40/T21*'KF World'!I$139/'KF World'!I$139*-1</f>
        <v>-3315.4205763385858</v>
      </c>
      <c r="F21" s="92">
        <f>AF21*'KF World'!I$41/T21*'KF World'!I$139/'KF World'!I$139*-1</f>
        <v>-8674.9457459544774</v>
      </c>
      <c r="G21" s="92"/>
      <c r="H21" s="92"/>
      <c r="I21" s="92">
        <f>AF21*'KF World'!I$42/T21*'KF World'!I$141/'KF World'!I$141*-1</f>
        <v>-361.94108944014573</v>
      </c>
      <c r="J21" s="92">
        <f>AF21*'KF World'!I$43/T21*'KF World'!I$139/'KF World'!I$139*-1</f>
        <v>-1290.618949538826</v>
      </c>
      <c r="K21" s="92">
        <f>AF21*'KF World'!I$44/T21*'KF World'!I$140/'KF World'!I$140*-1</f>
        <v>-17277.536771576641</v>
      </c>
      <c r="L21" s="92">
        <f>AF21*'KF World'!I$45/T21*'KF World'!I$141/'KF World'!I$141*-1</f>
        <v>-1670.7324629513248</v>
      </c>
      <c r="M21" s="92"/>
      <c r="N21" s="23">
        <f t="shared" ref="N21:N24" si="8">SUM(C21:L21)</f>
        <v>-33858.450000231518</v>
      </c>
      <c r="O21" s="84" t="s">
        <v>88</v>
      </c>
      <c r="P21" s="85" t="s">
        <v>89</v>
      </c>
      <c r="Q21" s="86" t="s">
        <v>85</v>
      </c>
      <c r="R21" s="86"/>
      <c r="S21" s="24">
        <f t="shared" si="1"/>
        <v>30084.925226399999</v>
      </c>
      <c r="T21" s="37">
        <f>('KF World'!I39+'KF World'!I40+'KF World'!I41+'KF World'!I43)*'KF World'!I138+('KF World'!I42+'KF World'!I45)*'KF World'!I141+'KF World'!I44*'KF World'!I140</f>
        <v>0.88854998460337942</v>
      </c>
      <c r="U21" s="61"/>
      <c r="V21" s="92"/>
      <c r="W21" s="92"/>
      <c r="X21" s="92"/>
      <c r="Y21" s="92"/>
      <c r="Z21" s="92"/>
      <c r="AA21" s="92"/>
      <c r="AB21" s="92"/>
      <c r="AC21" s="92"/>
      <c r="AD21" s="92"/>
      <c r="AE21" s="92"/>
      <c r="AF21" s="92">
        <f>'KF World'!I4*'KF World'!I9*(('KF World'!G39+'KF World'!G40+'KF World'!G41+'KF World'!G43)*'KF World'!G138+('KF World'!G42+'KF World'!G45)*'KF World'!G141+'KF World'!G44*'KF World'!G140)*-1</f>
        <v>30084.925226399999</v>
      </c>
      <c r="AG21" s="92">
        <f t="shared" ref="AG21:AG24" si="9">(N21+AF21)*-1</f>
        <v>3773.5247738315193</v>
      </c>
      <c r="AH21" s="87">
        <f>-(C21*Emissionsfaktorer!$B$2+D21*Emissionsfaktorer!$B$3+E21*Emissionsfaktorer!$B$4+F21*Emissionsfaktorer!$B$5+G21*Emissionsfaktorer!$B$6+H21*Emissionsfaktorer!$B$7+I21*Emissionsfaktorer!$B$8+J21*Emissionsfaktorer!$B$9+K21*Emissionsfaktorer!$B$10+L21*Emissionsfaktorer!$B$11+M21*Emissionsfaktorer!$B$12)</f>
        <v>866.83303974213163</v>
      </c>
    </row>
    <row r="22" spans="3:34" x14ac:dyDescent="0.35">
      <c r="C22" s="92">
        <f>AF22*'KF World'!I$47/T22*'KF World'!I$138/'KF World'!I$138*-1</f>
        <v>-653.23929720806098</v>
      </c>
      <c r="D22" s="92"/>
      <c r="E22" s="92">
        <f>AF22*'KF World'!I48/T22*'KF World'!I$139/'KF World'!I$139*-1</f>
        <v>-4650.3469538184527</v>
      </c>
      <c r="F22" s="92">
        <f>AF22*'KF World'!I$49/T22*'KF World'!I$139/'KF World'!I$139*-1</f>
        <v>-433.28762563355014</v>
      </c>
      <c r="G22" s="92"/>
      <c r="H22" s="92"/>
      <c r="I22" s="92">
        <f>AF22*'KF World'!I$50/T22*'KF World'!I$141/'KF World'!I$141*-1</f>
        <v>-98.272715245645756</v>
      </c>
      <c r="J22" s="92">
        <f>AF22*'KF World'!I$51/T22*'KF World'!I$139/'KF World'!I$139*-1</f>
        <v>-502.66891628631328</v>
      </c>
      <c r="K22" s="92">
        <f>AF22*'KF World'!I$52/T22*'KF World'!I$140/'KF World'!I$140*-1</f>
        <v>-2465.1503354802508</v>
      </c>
      <c r="L22" s="92">
        <f>AF22*'KF World'!I$53/T22*'KF World'!I$141/'KF World'!I$141*-1</f>
        <v>-187.66864496420294</v>
      </c>
      <c r="M22" s="92"/>
      <c r="N22" s="23">
        <f t="shared" si="8"/>
        <v>-8990.634488636475</v>
      </c>
      <c r="O22" s="84" t="s">
        <v>90</v>
      </c>
      <c r="P22" s="85" t="s">
        <v>91</v>
      </c>
      <c r="Q22" s="86" t="s">
        <v>85</v>
      </c>
      <c r="R22" s="86"/>
      <c r="S22" s="24">
        <f t="shared" si="1"/>
        <v>4499.6970167999998</v>
      </c>
      <c r="T22" s="37">
        <f>('KF World'!I47+'KF World'!I48+'KF World'!I49+'KF World'!I51)*'KF World'!I139+('KF World'!I50+'KF World'!I53)*'KF World'!I141+'KF World'!I52*'KF World'!I140</f>
        <v>0.50048714831943142</v>
      </c>
      <c r="U22" s="61"/>
      <c r="V22" s="92"/>
      <c r="W22" s="92"/>
      <c r="X22" s="92"/>
      <c r="Y22" s="92"/>
      <c r="Z22" s="92"/>
      <c r="AA22" s="92"/>
      <c r="AB22" s="92"/>
      <c r="AC22" s="92"/>
      <c r="AD22" s="92"/>
      <c r="AE22" s="92"/>
      <c r="AF22" s="92">
        <f>(('KF World'!G47+'KF World'!G48+'KF World'!G49+'KF World'!G51)*'KF World'!G139+('KF World'!G50+'KF World'!G53)*'KF World'!G141+'KF World'!G52*'KF World'!G140)*'KF World'!I10*'KF World'!I4*-1</f>
        <v>4499.6970167999998</v>
      </c>
      <c r="AG22" s="92">
        <f t="shared" si="9"/>
        <v>4490.9374718364752</v>
      </c>
      <c r="AH22" s="87">
        <f>-(C22*Emissionsfaktorer!$B$2+D22*Emissionsfaktorer!$B$3+E22*Emissionsfaktorer!$B$4+F22*Emissionsfaktorer!$B$5+G22*Emissionsfaktorer!$B$6+H22*Emissionsfaktorer!$B$7+I22*Emissionsfaktorer!$B$8+J22*Emissionsfaktorer!$B$9+K22*Emissionsfaktorer!$B$10+L22*Emissionsfaktorer!$B$11+M22*Emissionsfaktorer!$B$12)</f>
        <v>440.18149638608054</v>
      </c>
    </row>
    <row r="23" spans="3:34" x14ac:dyDescent="0.35">
      <c r="C23" s="92">
        <f>AF23*'KF World'!I$55/T23*'KF World'!I$138/'KF World'!I$138*-1</f>
        <v>-8.3744000000000013E-2</v>
      </c>
      <c r="D23" s="92"/>
      <c r="E23" s="92">
        <f>AF23*'KF World'!I56/T23*'KF World'!I$139/'KF World'!I$139*-1</f>
        <v>-257.5546720000001</v>
      </c>
      <c r="F23" s="92">
        <f>AF23*'KF World'!I$57/T23*'KF World'!I$139/'KF World'!I$139*-1</f>
        <v>-2.0936000000000003</v>
      </c>
      <c r="G23" s="92"/>
      <c r="H23" s="92"/>
      <c r="I23" s="92">
        <f>AF23*'KF World'!I$58/T23*'KF World'!I$141/'KF World'!I$141*-1</f>
        <v>-2.4285760000000005</v>
      </c>
      <c r="J23" s="92">
        <f>AF23*'KF World'!I$59/T23*'KF World'!I$139/'KF World'!I$139*-1</f>
        <v>-1.004928</v>
      </c>
      <c r="K23" s="92">
        <f>AF23*'KF World'!I$60/T23*'KF World'!I$140/'KF World'!I$140*-1</f>
        <v>-27.844879999999979</v>
      </c>
      <c r="L23" s="92">
        <f>AF23*'KF World'!I$61/T23*'KF World'!I$141/'KF World'!I$141*-1</f>
        <v>-2.3029600000000006</v>
      </c>
      <c r="M23" s="92"/>
      <c r="N23" s="23">
        <f t="shared" si="8"/>
        <v>-293.3133600000001</v>
      </c>
      <c r="O23" s="84" t="s">
        <v>92</v>
      </c>
      <c r="P23" s="85" t="s">
        <v>93</v>
      </c>
      <c r="Q23" s="86" t="s">
        <v>85</v>
      </c>
      <c r="R23" s="86"/>
      <c r="S23" s="24">
        <f t="shared" si="1"/>
        <v>109.4052552</v>
      </c>
      <c r="T23" s="37">
        <f>('KF World'!I55+'KF World'!I56+'KF World'!I57+'KF World'!I59)*'KF World'!I139+('KF World'!I58+'KF World'!I61)*'KF World'!I141+'KF World'!I60*'KF World'!I140</f>
        <v>0.37299785867237678</v>
      </c>
      <c r="U23" s="61"/>
      <c r="V23" s="92"/>
      <c r="W23" s="92"/>
      <c r="X23" s="92"/>
      <c r="Y23" s="92"/>
      <c r="Z23" s="92"/>
      <c r="AA23" s="92"/>
      <c r="AB23" s="92"/>
      <c r="AC23" s="92"/>
      <c r="AD23" s="92"/>
      <c r="AE23" s="92"/>
      <c r="AF23" s="92">
        <f>(('KF World'!G55+'KF World'!G56+'KF World'!G57+'KF World'!G59)*'KF World'!G139+('KF World'!G58+'KF World'!G61)*'KF World'!G141+'KF World'!G60*'KF World'!G140)*'KF World'!I4*'KF World'!I11*-1</f>
        <v>109.4052552</v>
      </c>
      <c r="AG23" s="92">
        <f t="shared" si="9"/>
        <v>183.9081048000001</v>
      </c>
      <c r="AH23" s="87">
        <f>-(C23*Emissionsfaktorer!$B$2+D23*Emissionsfaktorer!$B$3+E23*Emissionsfaktorer!$B$4+F23*Emissionsfaktorer!$B$5+G23*Emissionsfaktorer!$B$6+H23*Emissionsfaktorer!$B$7+I23*Emissionsfaktorer!$B$8+J23*Emissionsfaktorer!$B$9+K23*Emissionsfaktorer!$B$10+L23*Emissionsfaktorer!$B$11+M23*Emissionsfaktorer!$B$12)</f>
        <v>19.701445952000004</v>
      </c>
    </row>
    <row r="24" spans="3:34" x14ac:dyDescent="0.35">
      <c r="C24" s="92">
        <f>AF24*'KF World'!I$63/T24*'KF World'!I$138/'KF World'!I$138*-1</f>
        <v>-1063.6940176095375</v>
      </c>
      <c r="D24" s="92"/>
      <c r="E24" s="92">
        <f>AF24*'KF World'!I64/T24*'KF World'!I$139/'KF World'!I$139*-1</f>
        <v>-892.14802524037225</v>
      </c>
      <c r="F24" s="92">
        <f>AF24*'KF World'!I$65/T24*'KF World'!I$139/'KF World'!I$139*-1</f>
        <v>-150.31733283019366</v>
      </c>
      <c r="G24" s="92"/>
      <c r="H24" s="92"/>
      <c r="I24" s="92">
        <f>AF24*'KF World'!I$66/T24*'KF World'!I$141/'KF World'!I$141*-1</f>
        <v>-53.511295642614911</v>
      </c>
      <c r="J24" s="92">
        <f>AF24*'KF World'!I$67/T24*'KF World'!I$139/'KF World'!I$139*-1</f>
        <v>-87.008194323438005</v>
      </c>
      <c r="K24" s="92">
        <f>AF24*'KF World'!I$68/T24*'KF World'!I$140/'KF World'!I$140*-1</f>
        <v>-3832.589533689727</v>
      </c>
      <c r="L24" s="92">
        <f>AF24*'KF World'!I$69/T24*'KF World'!I$141/'KF World'!I$141*-1</f>
        <v>-250.76615774931193</v>
      </c>
      <c r="M24" s="92"/>
      <c r="N24" s="23">
        <f t="shared" si="8"/>
        <v>-6330.034557085196</v>
      </c>
      <c r="O24" s="84" t="s">
        <v>94</v>
      </c>
      <c r="P24" s="85" t="s">
        <v>95</v>
      </c>
      <c r="Q24" s="86" t="s">
        <v>85</v>
      </c>
      <c r="R24" s="86"/>
      <c r="S24" s="24">
        <f t="shared" si="1"/>
        <v>5699.7715664000007</v>
      </c>
      <c r="T24" s="37">
        <f>('KF World'!I63+'KF World'!I64+'KF World'!I65+'KF World'!I67)*'KF World'!I138+('KF World'!I66+'KF World'!I69)*'KF World'!I141+'KF World'!I68*'KF World'!I140</f>
        <v>0.90043293049960649</v>
      </c>
      <c r="U24" s="61"/>
      <c r="V24" s="92"/>
      <c r="W24" s="92"/>
      <c r="X24" s="92"/>
      <c r="Y24" s="92"/>
      <c r="Z24" s="92"/>
      <c r="AA24" s="92"/>
      <c r="AB24" s="92"/>
      <c r="AC24" s="92"/>
      <c r="AD24" s="92"/>
      <c r="AE24" s="92"/>
      <c r="AF24" s="92">
        <f>(('KF World'!G63+'KF World'!G64+'KF World'!G65+'KF World'!G67)*'KF World'!G138+('KF World'!G66+'KF World'!G69)*'KF World'!G141+'KF World'!G68*'KF World'!G140)*'KF World'!I4*'KF World'!I12*-1</f>
        <v>5699.7715664000007</v>
      </c>
      <c r="AG24" s="92">
        <f t="shared" si="9"/>
        <v>630.26299068519529</v>
      </c>
      <c r="AH24" s="87">
        <f>-(C24*Emissionsfaktorer!$B$2+D24*Emissionsfaktorer!$B$3+E24*Emissionsfaktorer!$B$4+F24*Emissionsfaktorer!$B$5+G24*Emissionsfaktorer!$B$6+H24*Emissionsfaktorer!$B$7+I24*Emissionsfaktorer!$B$8+J24*Emissionsfaktorer!$B$9+K24*Emissionsfaktorer!$B$10+L24*Emissionsfaktorer!$B$11+M24*Emissionsfaktorer!$B$12)</f>
        <v>177.42226956249539</v>
      </c>
    </row>
    <row r="25" spans="3:34" x14ac:dyDescent="0.35"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23">
        <f>N16</f>
        <v>-377724.84155199997</v>
      </c>
      <c r="O25" s="10" t="s">
        <v>11</v>
      </c>
      <c r="P25" s="71" t="s">
        <v>96</v>
      </c>
      <c r="Q25" s="71"/>
      <c r="R25" s="71"/>
      <c r="S25" s="24">
        <f t="shared" si="1"/>
        <v>254085.936916237</v>
      </c>
      <c r="T25" s="37">
        <f>AF25/N25*-1</f>
        <v>0.67267467999257324</v>
      </c>
      <c r="U25" s="61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>
        <f>AF16</f>
        <v>254085.936916237</v>
      </c>
      <c r="AG25" s="14">
        <f>-(S25+N25)</f>
        <v>123638.90463576297</v>
      </c>
      <c r="AH25" s="14"/>
    </row>
    <row r="28" spans="3:34" x14ac:dyDescent="0.35">
      <c r="X28" s="95"/>
    </row>
    <row r="29" spans="3:34" x14ac:dyDescent="0.35">
      <c r="X29" s="95"/>
    </row>
    <row r="30" spans="3:34" x14ac:dyDescent="0.35">
      <c r="D30" s="40">
        <f>'KF World'!D125</f>
        <v>0.6675160142348755</v>
      </c>
      <c r="X30" s="95"/>
    </row>
  </sheetData>
  <pageMargins left="0.7" right="0.7" top="0.75" bottom="0.75" header="0.3" footer="0.3"/>
  <pageSetup paperSize="9" orientation="portrait" horizontalDpi="4294967293" verticalDpi="4294967293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Ark11"/>
  <dimension ref="A1:L32"/>
  <sheetViews>
    <sheetView workbookViewId="0">
      <selection activeCell="A3" sqref="A3:L30"/>
    </sheetView>
  </sheetViews>
  <sheetFormatPr defaultRowHeight="14.5" x14ac:dyDescent="0.35"/>
  <cols>
    <col min="1" max="1" width="30" customWidth="1"/>
    <col min="2" max="2" width="11.54296875" customWidth="1"/>
    <col min="3" max="3" width="12" customWidth="1"/>
    <col min="4" max="4" width="14.54296875" customWidth="1"/>
    <col min="5" max="5" width="14.1796875" customWidth="1"/>
    <col min="8" max="8" width="22.81640625" customWidth="1"/>
    <col min="9" max="9" width="21.81640625" customWidth="1"/>
    <col min="10" max="10" width="13.81640625" customWidth="1"/>
    <col min="11" max="11" width="12.26953125" customWidth="1"/>
    <col min="12" max="12" width="11.81640625" customWidth="1"/>
  </cols>
  <sheetData>
    <row r="1" spans="1:12" x14ac:dyDescent="0.35">
      <c r="B1" t="s">
        <v>214</v>
      </c>
      <c r="C1" t="s">
        <v>2</v>
      </c>
      <c r="D1" t="s">
        <v>215</v>
      </c>
      <c r="E1" t="s">
        <v>216</v>
      </c>
      <c r="F1" t="s">
        <v>5</v>
      </c>
      <c r="G1" t="s">
        <v>6</v>
      </c>
      <c r="H1" t="s">
        <v>217</v>
      </c>
      <c r="I1" t="s">
        <v>8</v>
      </c>
      <c r="J1" t="s">
        <v>9</v>
      </c>
      <c r="K1" t="s">
        <v>10</v>
      </c>
      <c r="L1" t="s">
        <v>218</v>
      </c>
    </row>
    <row r="2" spans="1:12" x14ac:dyDescent="0.35">
      <c r="B2" t="s">
        <v>219</v>
      </c>
      <c r="C2" t="s">
        <v>219</v>
      </c>
      <c r="D2" t="s">
        <v>219</v>
      </c>
      <c r="E2" t="s">
        <v>219</v>
      </c>
      <c r="F2" t="s">
        <v>219</v>
      </c>
      <c r="G2" t="s">
        <v>219</v>
      </c>
      <c r="H2" t="s">
        <v>219</v>
      </c>
      <c r="I2" t="s">
        <v>219</v>
      </c>
      <c r="J2" t="s">
        <v>219</v>
      </c>
      <c r="K2" t="s">
        <v>219</v>
      </c>
      <c r="L2" t="s">
        <v>219</v>
      </c>
    </row>
    <row r="3" spans="1:12" x14ac:dyDescent="0.35">
      <c r="A3" t="s">
        <v>17</v>
      </c>
      <c r="B3" s="7">
        <v>141751</v>
      </c>
      <c r="C3" s="7">
        <v>486657</v>
      </c>
      <c r="D3" s="7"/>
      <c r="E3" s="7">
        <v>158081</v>
      </c>
      <c r="F3" s="7">
        <v>2942</v>
      </c>
      <c r="G3" s="7">
        <v>7708</v>
      </c>
      <c r="H3" s="7">
        <v>951</v>
      </c>
      <c r="I3" s="7">
        <v>276869</v>
      </c>
      <c r="J3" s="7"/>
      <c r="K3" s="7">
        <v>37</v>
      </c>
      <c r="L3" s="7">
        <v>1074996</v>
      </c>
    </row>
    <row r="4" spans="1:12" x14ac:dyDescent="0.35">
      <c r="A4" t="s">
        <v>220</v>
      </c>
      <c r="B4" s="7">
        <v>7573</v>
      </c>
      <c r="C4" s="7">
        <v>41378</v>
      </c>
      <c r="D4" s="7">
        <v>44171</v>
      </c>
      <c r="E4" s="7">
        <v>2416</v>
      </c>
      <c r="F4" s="7"/>
      <c r="G4" s="7"/>
      <c r="H4" s="7"/>
      <c r="I4" s="7">
        <v>3</v>
      </c>
      <c r="J4" s="7">
        <v>2836</v>
      </c>
      <c r="K4" s="7"/>
      <c r="L4" s="7">
        <v>98375</v>
      </c>
    </row>
    <row r="5" spans="1:12" x14ac:dyDescent="0.35">
      <c r="A5" t="s">
        <v>221</v>
      </c>
      <c r="B5" s="7">
        <v>-48588</v>
      </c>
      <c r="C5" s="7">
        <v>-388457</v>
      </c>
      <c r="D5" s="7">
        <v>-50269</v>
      </c>
      <c r="E5" s="7">
        <v>-85788</v>
      </c>
      <c r="F5" s="7"/>
      <c r="G5" s="7"/>
      <c r="H5" s="7"/>
      <c r="I5" s="7">
        <v>-298</v>
      </c>
      <c r="J5" s="7">
        <v>-2708</v>
      </c>
      <c r="K5" s="7"/>
      <c r="L5" s="7">
        <v>-576106</v>
      </c>
    </row>
    <row r="6" spans="1:12" x14ac:dyDescent="0.35">
      <c r="A6" t="s">
        <v>222</v>
      </c>
      <c r="B6" s="7"/>
      <c r="C6" s="7"/>
      <c r="D6" s="7">
        <v>-6393</v>
      </c>
      <c r="E6" s="7"/>
      <c r="F6" s="7"/>
      <c r="G6" s="7"/>
      <c r="H6" s="7"/>
      <c r="I6" s="7"/>
      <c r="J6" s="7"/>
      <c r="K6" s="7"/>
      <c r="L6" s="7">
        <v>-6393</v>
      </c>
    </row>
    <row r="7" spans="1:12" x14ac:dyDescent="0.35">
      <c r="A7" t="s">
        <v>223</v>
      </c>
      <c r="B7" s="7"/>
      <c r="C7" s="7"/>
      <c r="D7" s="7">
        <v>-5343</v>
      </c>
      <c r="E7" s="7"/>
      <c r="F7" s="7"/>
      <c r="G7" s="7"/>
      <c r="H7" s="7"/>
      <c r="I7" s="7"/>
      <c r="J7" s="7"/>
      <c r="K7" s="7"/>
      <c r="L7" s="7">
        <v>-5343</v>
      </c>
    </row>
    <row r="8" spans="1:12" x14ac:dyDescent="0.35">
      <c r="A8" t="s">
        <v>224</v>
      </c>
      <c r="B8" s="7">
        <v>98</v>
      </c>
      <c r="C8" s="7">
        <v>-621</v>
      </c>
      <c r="D8" s="7">
        <v>491</v>
      </c>
      <c r="E8" s="7"/>
      <c r="F8" s="7"/>
      <c r="G8" s="7"/>
      <c r="H8" s="7"/>
      <c r="I8" s="7"/>
      <c r="J8" s="7"/>
      <c r="K8" s="7"/>
      <c r="L8" s="7">
        <v>-32</v>
      </c>
    </row>
    <row r="9" spans="1:12" x14ac:dyDescent="0.35">
      <c r="A9" t="s">
        <v>225</v>
      </c>
      <c r="B9" s="7">
        <v>100833</v>
      </c>
      <c r="C9" s="7">
        <v>138956</v>
      </c>
      <c r="D9" s="7">
        <v>-17343</v>
      </c>
      <c r="E9" s="7">
        <v>74707</v>
      </c>
      <c r="F9" s="7">
        <v>2942</v>
      </c>
      <c r="G9" s="7">
        <v>7708</v>
      </c>
      <c r="H9" s="7">
        <v>951</v>
      </c>
      <c r="I9" s="7">
        <v>276575</v>
      </c>
      <c r="J9" s="7">
        <v>130</v>
      </c>
      <c r="K9" s="7">
        <v>37</v>
      </c>
      <c r="L9" s="7">
        <v>585501</v>
      </c>
    </row>
    <row r="10" spans="1:12" x14ac:dyDescent="0.35">
      <c r="A10" t="s">
        <v>226</v>
      </c>
      <c r="B10" s="7"/>
      <c r="C10" s="7">
        <v>-15689</v>
      </c>
      <c r="D10" s="7">
        <v>16840</v>
      </c>
      <c r="E10" s="7"/>
      <c r="F10" s="7"/>
      <c r="G10" s="7"/>
      <c r="H10" s="7"/>
      <c r="I10" s="7"/>
      <c r="J10" s="7"/>
      <c r="K10" s="7"/>
      <c r="L10" s="7">
        <v>1150</v>
      </c>
    </row>
    <row r="11" spans="1:12" x14ac:dyDescent="0.35">
      <c r="A11" t="s">
        <v>227</v>
      </c>
      <c r="B11" s="7">
        <v>1818</v>
      </c>
      <c r="C11" s="7">
        <v>5771</v>
      </c>
      <c r="D11" s="7">
        <v>-353</v>
      </c>
      <c r="E11" s="7">
        <v>233</v>
      </c>
      <c r="F11" s="7"/>
      <c r="G11" s="7"/>
      <c r="H11" s="7"/>
      <c r="I11" s="7">
        <v>158</v>
      </c>
      <c r="J11" s="7">
        <v>207</v>
      </c>
      <c r="K11" s="7"/>
      <c r="L11" s="7">
        <v>7836</v>
      </c>
    </row>
    <row r="12" spans="1:12" x14ac:dyDescent="0.35">
      <c r="A12" t="s">
        <v>228</v>
      </c>
      <c r="B12" s="7">
        <v>-58778</v>
      </c>
      <c r="C12" s="7">
        <v>-328</v>
      </c>
      <c r="D12" s="7">
        <v>-14329</v>
      </c>
      <c r="E12" s="7">
        <v>-34990</v>
      </c>
      <c r="F12" s="7">
        <v>-2942</v>
      </c>
      <c r="G12" s="7">
        <v>-7708</v>
      </c>
      <c r="H12" s="7">
        <v>-933</v>
      </c>
      <c r="I12" s="7">
        <v>-414</v>
      </c>
      <c r="J12" s="7">
        <v>48189</v>
      </c>
      <c r="K12" s="7">
        <v>-37</v>
      </c>
      <c r="L12" s="7">
        <v>-72271</v>
      </c>
    </row>
    <row r="13" spans="1:12" x14ac:dyDescent="0.35">
      <c r="A13" t="s">
        <v>66</v>
      </c>
      <c r="B13" s="7"/>
      <c r="C13" s="7"/>
      <c r="D13" s="7"/>
      <c r="E13" s="7"/>
      <c r="F13" s="7"/>
      <c r="G13" s="7"/>
      <c r="H13" s="7"/>
      <c r="I13" s="7"/>
      <c r="J13" s="7"/>
      <c r="K13" s="7"/>
      <c r="L13" s="7"/>
    </row>
    <row r="14" spans="1:12" x14ac:dyDescent="0.35">
      <c r="A14" t="s">
        <v>229</v>
      </c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</row>
    <row r="15" spans="1:12" x14ac:dyDescent="0.35">
      <c r="A15" t="s">
        <v>230</v>
      </c>
      <c r="B15" s="7">
        <v>-5084</v>
      </c>
      <c r="C15" s="7"/>
      <c r="D15" s="7"/>
      <c r="E15" s="7"/>
      <c r="F15" s="7"/>
      <c r="G15" s="7"/>
      <c r="H15" s="7"/>
      <c r="I15" s="7"/>
      <c r="J15" s="7"/>
      <c r="K15" s="7"/>
      <c r="L15" s="7">
        <v>-5084</v>
      </c>
    </row>
    <row r="16" spans="1:12" x14ac:dyDescent="0.35">
      <c r="A16" t="s">
        <v>70</v>
      </c>
      <c r="B16" s="7"/>
      <c r="C16" s="7">
        <v>-130468</v>
      </c>
      <c r="D16" s="7">
        <v>128040</v>
      </c>
      <c r="E16" s="7"/>
      <c r="F16" s="7"/>
      <c r="G16" s="7"/>
      <c r="H16" s="7"/>
      <c r="I16" s="7"/>
      <c r="J16" s="7"/>
      <c r="K16" s="7"/>
      <c r="L16" s="7">
        <v>-2427</v>
      </c>
    </row>
    <row r="17" spans="1:12" x14ac:dyDescent="0.35">
      <c r="A17" t="s">
        <v>231</v>
      </c>
      <c r="B17" s="7">
        <v>-2481</v>
      </c>
      <c r="C17" s="7"/>
      <c r="D17" s="7"/>
      <c r="E17" s="7"/>
      <c r="F17" s="7"/>
      <c r="G17" s="7"/>
      <c r="H17" s="7"/>
      <c r="I17" s="7"/>
      <c r="J17" s="7"/>
      <c r="K17" s="7"/>
      <c r="L17" s="7">
        <v>-2481</v>
      </c>
    </row>
    <row r="18" spans="1:12" x14ac:dyDescent="0.35">
      <c r="A18" t="s">
        <v>232</v>
      </c>
      <c r="B18" s="7">
        <v>-5835</v>
      </c>
      <c r="C18" s="7">
        <v>3519</v>
      </c>
      <c r="D18" s="7"/>
      <c r="E18" s="7">
        <v>-2759</v>
      </c>
      <c r="F18" s="7"/>
      <c r="G18" s="7"/>
      <c r="H18" s="7"/>
      <c r="I18" s="7"/>
      <c r="J18" s="7"/>
      <c r="K18" s="7"/>
      <c r="L18" s="7">
        <v>-5075</v>
      </c>
    </row>
    <row r="19" spans="1:12" x14ac:dyDescent="0.35">
      <c r="A19" t="s">
        <v>233</v>
      </c>
      <c r="B19" s="7"/>
      <c r="C19" s="7"/>
      <c r="D19" s="7"/>
      <c r="E19" s="7"/>
      <c r="F19" s="7"/>
      <c r="G19" s="7"/>
      <c r="H19" s="7"/>
      <c r="I19" s="7">
        <v>-37732</v>
      </c>
      <c r="J19" s="7"/>
      <c r="K19" s="7"/>
      <c r="L19" s="7">
        <v>-37732</v>
      </c>
    </row>
    <row r="20" spans="1:12" x14ac:dyDescent="0.35">
      <c r="A20" t="s">
        <v>234</v>
      </c>
      <c r="B20" s="7">
        <v>-9415</v>
      </c>
      <c r="C20" s="7">
        <v>-459</v>
      </c>
      <c r="D20" s="7">
        <v>-4726</v>
      </c>
      <c r="E20" s="7">
        <v>-11969</v>
      </c>
      <c r="F20" s="7"/>
      <c r="G20" s="7"/>
      <c r="H20" s="7"/>
      <c r="I20" s="7"/>
      <c r="J20" s="7">
        <v>-3246</v>
      </c>
      <c r="K20" s="7"/>
      <c r="L20" s="7">
        <v>-29817</v>
      </c>
    </row>
    <row r="21" spans="1:12" x14ac:dyDescent="0.35">
      <c r="A21" t="s">
        <v>235</v>
      </c>
      <c r="B21" s="7">
        <v>-126</v>
      </c>
      <c r="C21" s="7">
        <v>-1235</v>
      </c>
      <c r="D21" s="7">
        <v>-95</v>
      </c>
      <c r="E21" s="7">
        <v>-40</v>
      </c>
      <c r="F21" s="7"/>
      <c r="G21" s="7"/>
      <c r="H21" s="7"/>
      <c r="I21" s="7"/>
      <c r="J21" s="7">
        <v>-5526</v>
      </c>
      <c r="K21" s="7"/>
      <c r="L21" s="7">
        <v>-7021</v>
      </c>
    </row>
    <row r="22" spans="1:12" x14ac:dyDescent="0.35">
      <c r="A22" t="s">
        <v>131</v>
      </c>
      <c r="B22" s="7">
        <v>20933</v>
      </c>
      <c r="C22" s="7">
        <v>68</v>
      </c>
      <c r="D22" s="7">
        <v>108028</v>
      </c>
      <c r="E22" s="7">
        <v>25183</v>
      </c>
      <c r="F22" s="7"/>
      <c r="G22" s="7"/>
      <c r="H22" s="7">
        <v>18</v>
      </c>
      <c r="I22" s="7">
        <v>238587</v>
      </c>
      <c r="J22" s="7">
        <v>39757</v>
      </c>
      <c r="K22" s="7"/>
      <c r="L22" s="7">
        <v>432580</v>
      </c>
    </row>
    <row r="23" spans="1:12" x14ac:dyDescent="0.35">
      <c r="A23" t="s">
        <v>80</v>
      </c>
      <c r="B23" s="7">
        <v>14519</v>
      </c>
      <c r="C23" s="7">
        <v>68</v>
      </c>
      <c r="D23" s="7">
        <v>14960</v>
      </c>
      <c r="E23" s="7">
        <v>12573</v>
      </c>
      <c r="F23" s="7"/>
      <c r="G23" s="7"/>
      <c r="H23" s="7"/>
      <c r="I23" s="7">
        <v>14891</v>
      </c>
      <c r="J23" s="7">
        <v>18203</v>
      </c>
      <c r="K23" s="7"/>
      <c r="L23" s="7">
        <v>75216</v>
      </c>
    </row>
    <row r="24" spans="1:12" x14ac:dyDescent="0.35">
      <c r="A24" t="s">
        <v>82</v>
      </c>
      <c r="B24" s="7">
        <v>8</v>
      </c>
      <c r="C24" s="7"/>
      <c r="D24" s="7">
        <v>65977</v>
      </c>
      <c r="E24" s="7">
        <v>1432</v>
      </c>
      <c r="F24" s="7"/>
      <c r="G24" s="7"/>
      <c r="H24" s="7"/>
      <c r="I24" s="7"/>
      <c r="J24" s="7">
        <v>549</v>
      </c>
      <c r="K24" s="7"/>
      <c r="L24" s="7">
        <v>67965</v>
      </c>
    </row>
    <row r="25" spans="1:12" x14ac:dyDescent="0.35">
      <c r="A25" t="s">
        <v>86</v>
      </c>
      <c r="B25" s="7">
        <v>3162</v>
      </c>
      <c r="C25" s="7"/>
      <c r="D25" s="7">
        <v>13460</v>
      </c>
      <c r="E25" s="7">
        <v>4132</v>
      </c>
      <c r="F25" s="7"/>
      <c r="G25" s="7"/>
      <c r="H25" s="7"/>
      <c r="I25" s="7">
        <v>215416</v>
      </c>
      <c r="J25" s="7">
        <v>11799</v>
      </c>
      <c r="K25" s="7"/>
      <c r="L25" s="7">
        <v>247976</v>
      </c>
    </row>
    <row r="26" spans="1:12" x14ac:dyDescent="0.35">
      <c r="A26" t="s">
        <v>88</v>
      </c>
      <c r="B26" s="7">
        <v>1646</v>
      </c>
      <c r="C26" s="7"/>
      <c r="D26" s="7">
        <v>992</v>
      </c>
      <c r="E26" s="7">
        <v>46</v>
      </c>
      <c r="F26" s="7"/>
      <c r="G26" s="7"/>
      <c r="H26" s="7"/>
      <c r="I26" s="7">
        <v>5740</v>
      </c>
      <c r="J26" s="7">
        <v>6411</v>
      </c>
      <c r="K26" s="7"/>
      <c r="L26" s="7">
        <v>14839</v>
      </c>
    </row>
    <row r="27" spans="1:12" x14ac:dyDescent="0.35">
      <c r="A27" t="s">
        <v>90</v>
      </c>
      <c r="B27" s="7">
        <v>146</v>
      </c>
      <c r="C27" s="7"/>
      <c r="D27" s="7">
        <v>4434</v>
      </c>
      <c r="E27" s="7"/>
      <c r="F27" s="7"/>
      <c r="G27" s="7"/>
      <c r="H27" s="7"/>
      <c r="I27" s="7">
        <v>2142</v>
      </c>
      <c r="J27" s="7">
        <v>1445</v>
      </c>
      <c r="K27" s="7"/>
      <c r="L27" s="7">
        <v>8166</v>
      </c>
    </row>
    <row r="28" spans="1:12" x14ac:dyDescent="0.35">
      <c r="A28" t="s">
        <v>92</v>
      </c>
      <c r="B28" s="7"/>
      <c r="C28" s="7"/>
      <c r="D28" s="7">
        <v>167</v>
      </c>
      <c r="E28" s="7"/>
      <c r="F28" s="7"/>
      <c r="G28" s="7"/>
      <c r="H28" s="7"/>
      <c r="I28" s="7"/>
      <c r="J28" s="7"/>
      <c r="K28" s="7"/>
      <c r="L28" s="7">
        <v>167</v>
      </c>
    </row>
    <row r="29" spans="1:12" x14ac:dyDescent="0.35">
      <c r="A29" t="s">
        <v>94</v>
      </c>
      <c r="B29" s="7">
        <v>35</v>
      </c>
      <c r="C29" s="7"/>
      <c r="D29" s="7">
        <v>1661</v>
      </c>
      <c r="E29" s="7">
        <v>144</v>
      </c>
      <c r="F29" s="7"/>
      <c r="G29" s="7"/>
      <c r="H29" s="7">
        <v>18</v>
      </c>
      <c r="I29" s="7">
        <v>399</v>
      </c>
      <c r="J29" s="7">
        <v>1345</v>
      </c>
      <c r="K29" s="7"/>
      <c r="L29" s="7">
        <v>3603</v>
      </c>
    </row>
    <row r="30" spans="1:12" x14ac:dyDescent="0.35">
      <c r="A30" t="s">
        <v>236</v>
      </c>
      <c r="B30" s="7">
        <v>1416</v>
      </c>
      <c r="C30" s="7"/>
      <c r="D30" s="7">
        <v>6377</v>
      </c>
      <c r="E30" s="7">
        <v>6854</v>
      </c>
      <c r="F30" s="7"/>
      <c r="G30" s="7"/>
      <c r="H30" s="7"/>
      <c r="I30" s="7"/>
      <c r="J30" s="7"/>
      <c r="K30" s="7"/>
      <c r="L30" s="7">
        <v>14647</v>
      </c>
    </row>
    <row r="32" spans="1:12" x14ac:dyDescent="0.35">
      <c r="B32" s="7">
        <f>SUM(B9,B10:B21,B22*-1)</f>
        <v>-1</v>
      </c>
      <c r="C32" s="7">
        <f t="shared" ref="C32:L32" si="0">SUM(C9,C10:C21,C22*-1)</f>
        <v>-1</v>
      </c>
      <c r="D32" s="7">
        <f t="shared" si="0"/>
        <v>6</v>
      </c>
      <c r="E32" s="7">
        <f t="shared" si="0"/>
        <v>-1</v>
      </c>
      <c r="F32" s="7">
        <f t="shared" si="0"/>
        <v>0</v>
      </c>
      <c r="G32" s="7">
        <f t="shared" si="0"/>
        <v>0</v>
      </c>
      <c r="H32" s="7">
        <f t="shared" si="0"/>
        <v>0</v>
      </c>
      <c r="I32" s="7">
        <f t="shared" si="0"/>
        <v>0</v>
      </c>
      <c r="J32" s="7">
        <f t="shared" si="0"/>
        <v>-3</v>
      </c>
      <c r="K32" s="7">
        <f t="shared" si="0"/>
        <v>0</v>
      </c>
      <c r="L32" s="7">
        <f t="shared" si="0"/>
        <v>-1</v>
      </c>
    </row>
  </sheetData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Ark12"/>
  <dimension ref="A1:L32"/>
  <sheetViews>
    <sheetView workbookViewId="0">
      <selection activeCell="A3" sqref="A3:L30"/>
    </sheetView>
  </sheetViews>
  <sheetFormatPr defaultRowHeight="14.5" x14ac:dyDescent="0.35"/>
  <cols>
    <col min="1" max="1" width="30" customWidth="1"/>
    <col min="2" max="2" width="11.54296875" customWidth="1"/>
    <col min="3" max="3" width="12" customWidth="1"/>
    <col min="4" max="4" width="14.54296875" customWidth="1"/>
    <col min="5" max="5" width="14.1796875" customWidth="1"/>
    <col min="8" max="8" width="22.81640625" customWidth="1"/>
    <col min="9" max="9" width="21.81640625" customWidth="1"/>
    <col min="10" max="10" width="13.81640625" customWidth="1"/>
    <col min="11" max="11" width="12.26953125" customWidth="1"/>
    <col min="12" max="12" width="11.81640625" customWidth="1"/>
  </cols>
  <sheetData>
    <row r="1" spans="1:12" x14ac:dyDescent="0.35">
      <c r="B1" t="s">
        <v>214</v>
      </c>
      <c r="C1" t="s">
        <v>2</v>
      </c>
      <c r="D1" t="s">
        <v>215</v>
      </c>
      <c r="E1" t="s">
        <v>216</v>
      </c>
      <c r="F1" t="s">
        <v>5</v>
      </c>
      <c r="G1" t="s">
        <v>6</v>
      </c>
      <c r="H1" t="s">
        <v>217</v>
      </c>
      <c r="I1" t="s">
        <v>8</v>
      </c>
      <c r="J1" t="s">
        <v>9</v>
      </c>
      <c r="K1" t="s">
        <v>10</v>
      </c>
      <c r="L1" t="s">
        <v>218</v>
      </c>
    </row>
    <row r="2" spans="1:12" x14ac:dyDescent="0.35">
      <c r="B2" t="s">
        <v>219</v>
      </c>
      <c r="C2" t="s">
        <v>219</v>
      </c>
      <c r="D2" t="s">
        <v>219</v>
      </c>
      <c r="E2" t="s">
        <v>219</v>
      </c>
      <c r="F2" t="s">
        <v>219</v>
      </c>
      <c r="G2" t="s">
        <v>219</v>
      </c>
      <c r="H2" t="s">
        <v>219</v>
      </c>
      <c r="I2" t="s">
        <v>219</v>
      </c>
      <c r="J2" t="s">
        <v>219</v>
      </c>
      <c r="K2" t="s">
        <v>219</v>
      </c>
      <c r="L2" t="s">
        <v>219</v>
      </c>
    </row>
    <row r="3" spans="1:12" x14ac:dyDescent="0.35">
      <c r="A3" t="s">
        <v>17</v>
      </c>
      <c r="B3" s="7">
        <v>146759</v>
      </c>
      <c r="C3" s="7">
        <v>510798</v>
      </c>
      <c r="D3" s="7"/>
      <c r="E3" s="7">
        <v>174324</v>
      </c>
      <c r="F3" s="7">
        <v>3153</v>
      </c>
      <c r="G3" s="7">
        <v>9454</v>
      </c>
      <c r="H3" s="7">
        <v>1590</v>
      </c>
      <c r="I3" s="7">
        <v>311263</v>
      </c>
      <c r="J3" s="7"/>
      <c r="K3" s="7">
        <v>186</v>
      </c>
      <c r="L3" s="7">
        <v>1157528</v>
      </c>
    </row>
    <row r="4" spans="1:12" x14ac:dyDescent="0.35">
      <c r="A4" t="s">
        <v>220</v>
      </c>
      <c r="B4" s="7">
        <v>7169</v>
      </c>
      <c r="C4" s="7">
        <v>38411</v>
      </c>
      <c r="D4" s="7">
        <v>81932</v>
      </c>
      <c r="E4" s="7">
        <v>5504</v>
      </c>
      <c r="F4" s="7"/>
      <c r="G4" s="7"/>
      <c r="H4" s="7"/>
      <c r="I4" s="7">
        <v>2</v>
      </c>
      <c r="J4" s="7">
        <v>3295</v>
      </c>
      <c r="K4" s="7"/>
      <c r="L4" s="7">
        <v>136317</v>
      </c>
    </row>
    <row r="5" spans="1:12" x14ac:dyDescent="0.35">
      <c r="A5" t="s">
        <v>221</v>
      </c>
      <c r="B5" s="7">
        <v>-45396</v>
      </c>
      <c r="C5" s="7">
        <v>-413125</v>
      </c>
      <c r="D5" s="7">
        <v>-41638</v>
      </c>
      <c r="E5" s="7">
        <v>-90352</v>
      </c>
      <c r="F5" s="7"/>
      <c r="G5" s="7"/>
      <c r="H5" s="7"/>
      <c r="I5" s="7">
        <v>-333</v>
      </c>
      <c r="J5" s="7">
        <v>-2971</v>
      </c>
      <c r="K5" s="7"/>
      <c r="L5" s="7">
        <v>-593815</v>
      </c>
    </row>
    <row r="6" spans="1:12" x14ac:dyDescent="0.35">
      <c r="A6" t="s">
        <v>222</v>
      </c>
      <c r="B6" s="7"/>
      <c r="C6" s="7"/>
      <c r="D6" s="7">
        <v>-5923</v>
      </c>
      <c r="E6" s="7"/>
      <c r="F6" s="7"/>
      <c r="G6" s="7"/>
      <c r="H6" s="7"/>
      <c r="I6" s="7"/>
      <c r="J6" s="7"/>
      <c r="K6" s="7"/>
      <c r="L6" s="7">
        <v>-5923</v>
      </c>
    </row>
    <row r="7" spans="1:12" x14ac:dyDescent="0.35">
      <c r="A7" t="s">
        <v>223</v>
      </c>
      <c r="B7" s="7"/>
      <c r="C7" s="7"/>
      <c r="D7" s="7">
        <v>-7160</v>
      </c>
      <c r="E7" s="7"/>
      <c r="F7" s="7"/>
      <c r="G7" s="7"/>
      <c r="H7" s="7"/>
      <c r="I7" s="7"/>
      <c r="J7" s="7"/>
      <c r="K7" s="7"/>
      <c r="L7" s="7">
        <v>-7160</v>
      </c>
    </row>
    <row r="8" spans="1:12" x14ac:dyDescent="0.35">
      <c r="A8" t="s">
        <v>224</v>
      </c>
      <c r="B8" s="7">
        <v>-11</v>
      </c>
      <c r="C8" s="7">
        <v>-256</v>
      </c>
      <c r="D8" s="7">
        <v>-754</v>
      </c>
      <c r="E8" s="7">
        <v>-1</v>
      </c>
      <c r="F8" s="7"/>
      <c r="G8" s="7"/>
      <c r="H8" s="7"/>
      <c r="I8" s="7">
        <v>1</v>
      </c>
      <c r="J8" s="7"/>
      <c r="K8" s="7"/>
      <c r="L8" s="7">
        <v>-1020</v>
      </c>
    </row>
    <row r="9" spans="1:12" x14ac:dyDescent="0.35">
      <c r="A9" t="s">
        <v>225</v>
      </c>
      <c r="B9" s="7">
        <v>108524</v>
      </c>
      <c r="C9" s="7">
        <v>135826</v>
      </c>
      <c r="D9" s="7">
        <v>26461</v>
      </c>
      <c r="E9" s="7">
        <v>89476</v>
      </c>
      <c r="F9" s="7">
        <v>3153</v>
      </c>
      <c r="G9" s="7">
        <v>9454</v>
      </c>
      <c r="H9" s="7">
        <v>1590</v>
      </c>
      <c r="I9" s="7">
        <v>310933</v>
      </c>
      <c r="J9" s="7">
        <v>323</v>
      </c>
      <c r="K9" s="7">
        <v>186</v>
      </c>
      <c r="L9" s="7">
        <v>685929</v>
      </c>
    </row>
    <row r="10" spans="1:12" x14ac:dyDescent="0.35">
      <c r="A10" t="s">
        <v>226</v>
      </c>
      <c r="B10" s="7"/>
      <c r="C10" s="7">
        <v>-15829</v>
      </c>
      <c r="D10" s="7">
        <v>17106</v>
      </c>
      <c r="E10" s="7"/>
      <c r="F10" s="7"/>
      <c r="G10" s="7"/>
      <c r="H10" s="7"/>
      <c r="I10" s="7"/>
      <c r="J10" s="7"/>
      <c r="K10" s="7"/>
      <c r="L10" s="7">
        <v>1274</v>
      </c>
    </row>
    <row r="11" spans="1:12" x14ac:dyDescent="0.35">
      <c r="A11" t="s">
        <v>227</v>
      </c>
      <c r="B11" s="7">
        <v>-1612</v>
      </c>
      <c r="C11" s="7">
        <v>3875</v>
      </c>
      <c r="D11" s="7">
        <v>-7858</v>
      </c>
      <c r="E11" s="7">
        <v>-86</v>
      </c>
      <c r="F11" s="7"/>
      <c r="G11" s="7"/>
      <c r="H11" s="7"/>
      <c r="I11" s="7">
        <v>-1244</v>
      </c>
      <c r="J11" s="7">
        <v>131</v>
      </c>
      <c r="K11" s="7"/>
      <c r="L11" s="7">
        <v>-6795</v>
      </c>
    </row>
    <row r="12" spans="1:12" x14ac:dyDescent="0.35">
      <c r="A12" t="s">
        <v>228</v>
      </c>
      <c r="B12" s="7">
        <v>-66322</v>
      </c>
      <c r="C12" s="7">
        <v>-714</v>
      </c>
      <c r="D12" s="7">
        <v>-16350</v>
      </c>
      <c r="E12" s="7">
        <v>-44009</v>
      </c>
      <c r="F12" s="7">
        <v>-3153</v>
      </c>
      <c r="G12" s="7">
        <v>-9454</v>
      </c>
      <c r="H12" s="7">
        <v>-1496</v>
      </c>
      <c r="I12" s="7">
        <v>-630</v>
      </c>
      <c r="J12" s="7">
        <v>57761</v>
      </c>
      <c r="K12" s="7">
        <v>-186</v>
      </c>
      <c r="L12" s="7">
        <v>-84552</v>
      </c>
    </row>
    <row r="13" spans="1:12" x14ac:dyDescent="0.35">
      <c r="A13" t="s">
        <v>66</v>
      </c>
      <c r="B13" s="7"/>
      <c r="C13" s="7"/>
      <c r="D13" s="7"/>
      <c r="E13" s="7">
        <v>-12</v>
      </c>
      <c r="F13" s="7"/>
      <c r="G13" s="7"/>
      <c r="H13" s="7"/>
      <c r="I13" s="7"/>
      <c r="J13" s="7">
        <v>12</v>
      </c>
      <c r="K13" s="7"/>
      <c r="L13" s="7"/>
    </row>
    <row r="14" spans="1:12" x14ac:dyDescent="0.35">
      <c r="A14" t="s">
        <v>229</v>
      </c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</row>
    <row r="15" spans="1:12" x14ac:dyDescent="0.35">
      <c r="A15" t="s">
        <v>230</v>
      </c>
      <c r="B15" s="7">
        <v>-1001</v>
      </c>
      <c r="C15" s="7"/>
      <c r="D15" s="7"/>
      <c r="E15" s="7"/>
      <c r="F15" s="7"/>
      <c r="G15" s="7"/>
      <c r="H15" s="7"/>
      <c r="I15" s="7"/>
      <c r="J15" s="7"/>
      <c r="K15" s="7"/>
      <c r="L15" s="7">
        <v>-1001</v>
      </c>
    </row>
    <row r="16" spans="1:12" x14ac:dyDescent="0.35">
      <c r="A16" t="s">
        <v>70</v>
      </c>
      <c r="B16" s="7"/>
      <c r="C16" s="7">
        <v>-125950</v>
      </c>
      <c r="D16" s="7">
        <v>123168</v>
      </c>
      <c r="E16" s="7"/>
      <c r="F16" s="7"/>
      <c r="G16" s="7"/>
      <c r="H16" s="7"/>
      <c r="I16" s="7"/>
      <c r="J16" s="7"/>
      <c r="K16" s="7"/>
      <c r="L16" s="7">
        <v>-2781</v>
      </c>
    </row>
    <row r="17" spans="1:12" x14ac:dyDescent="0.35">
      <c r="A17" t="s">
        <v>231</v>
      </c>
      <c r="B17" s="7">
        <v>-2417</v>
      </c>
      <c r="C17" s="7"/>
      <c r="D17" s="7"/>
      <c r="E17" s="7"/>
      <c r="F17" s="7"/>
      <c r="G17" s="7"/>
      <c r="H17" s="7"/>
      <c r="I17" s="7"/>
      <c r="J17" s="7"/>
      <c r="K17" s="7"/>
      <c r="L17" s="7">
        <v>-2417</v>
      </c>
    </row>
    <row r="18" spans="1:12" x14ac:dyDescent="0.35">
      <c r="A18" t="s">
        <v>232</v>
      </c>
      <c r="B18" s="7">
        <v>-5210</v>
      </c>
      <c r="C18" s="7">
        <v>3867</v>
      </c>
      <c r="D18" s="7"/>
      <c r="E18" s="7">
        <v>-3053</v>
      </c>
      <c r="F18" s="7"/>
      <c r="G18" s="7"/>
      <c r="H18" s="7"/>
      <c r="I18" s="7"/>
      <c r="J18" s="7"/>
      <c r="K18" s="7"/>
      <c r="L18" s="7">
        <v>-4395</v>
      </c>
    </row>
    <row r="19" spans="1:12" x14ac:dyDescent="0.35">
      <c r="A19" t="s">
        <v>233</v>
      </c>
      <c r="B19" s="7"/>
      <c r="C19" s="7"/>
      <c r="D19" s="7"/>
      <c r="E19" s="7"/>
      <c r="F19" s="7"/>
      <c r="G19" s="7"/>
      <c r="H19" s="7"/>
      <c r="I19" s="7">
        <v>-43344</v>
      </c>
      <c r="J19" s="7"/>
      <c r="K19" s="7"/>
      <c r="L19" s="7">
        <v>-43344</v>
      </c>
    </row>
    <row r="20" spans="1:12" x14ac:dyDescent="0.35">
      <c r="A20" t="s">
        <v>234</v>
      </c>
      <c r="B20" s="7">
        <v>-14293</v>
      </c>
      <c r="C20" s="7">
        <v>-638</v>
      </c>
      <c r="D20" s="7">
        <v>-4595</v>
      </c>
      <c r="E20" s="7">
        <v>-12791</v>
      </c>
      <c r="F20" s="7"/>
      <c r="G20" s="7"/>
      <c r="H20" s="7"/>
      <c r="I20" s="7"/>
      <c r="J20" s="7">
        <v>-3767</v>
      </c>
      <c r="K20" s="7"/>
      <c r="L20" s="7">
        <v>-36083</v>
      </c>
    </row>
    <row r="21" spans="1:12" x14ac:dyDescent="0.35">
      <c r="A21" t="s">
        <v>235</v>
      </c>
      <c r="B21" s="7">
        <v>-88</v>
      </c>
      <c r="C21" s="7">
        <v>-437</v>
      </c>
      <c r="D21" s="7">
        <v>-124</v>
      </c>
      <c r="E21" s="7">
        <v>-222</v>
      </c>
      <c r="F21" s="7"/>
      <c r="G21" s="7"/>
      <c r="H21" s="7"/>
      <c r="I21" s="7">
        <v>-12</v>
      </c>
      <c r="J21" s="7">
        <v>-7691</v>
      </c>
      <c r="K21" s="7"/>
      <c r="L21" s="7">
        <v>-8574</v>
      </c>
    </row>
    <row r="22" spans="1:12" x14ac:dyDescent="0.35">
      <c r="A22" t="s">
        <v>131</v>
      </c>
      <c r="B22" s="7">
        <v>17578</v>
      </c>
      <c r="C22" s="7"/>
      <c r="D22" s="7">
        <v>137806</v>
      </c>
      <c r="E22" s="7">
        <v>29304</v>
      </c>
      <c r="F22" s="7"/>
      <c r="G22" s="7"/>
      <c r="H22" s="7">
        <v>95</v>
      </c>
      <c r="I22" s="7">
        <v>265701</v>
      </c>
      <c r="J22" s="7">
        <v>46774</v>
      </c>
      <c r="K22" s="7"/>
      <c r="L22" s="7">
        <v>497258</v>
      </c>
    </row>
    <row r="23" spans="1:12" x14ac:dyDescent="0.35">
      <c r="A23" t="s">
        <v>80</v>
      </c>
      <c r="B23" s="7">
        <v>12476</v>
      </c>
      <c r="C23" s="7"/>
      <c r="D23" s="7">
        <v>17173</v>
      </c>
      <c r="E23" s="7">
        <v>14885</v>
      </c>
      <c r="F23" s="7"/>
      <c r="G23" s="7"/>
      <c r="H23" s="7"/>
      <c r="I23" s="7">
        <v>20587</v>
      </c>
      <c r="J23" s="7">
        <v>20705</v>
      </c>
      <c r="K23" s="7"/>
      <c r="L23" s="7">
        <v>85823</v>
      </c>
    </row>
    <row r="24" spans="1:12" x14ac:dyDescent="0.35">
      <c r="A24" t="s">
        <v>82</v>
      </c>
      <c r="B24" s="7">
        <v>8</v>
      </c>
      <c r="C24" s="7"/>
      <c r="D24" s="7">
        <v>86185</v>
      </c>
      <c r="E24" s="7">
        <v>1329</v>
      </c>
      <c r="F24" s="7"/>
      <c r="G24" s="7"/>
      <c r="H24" s="7"/>
      <c r="I24" s="7">
        <v>3</v>
      </c>
      <c r="J24" s="7">
        <v>398</v>
      </c>
      <c r="K24" s="7"/>
      <c r="L24" s="7">
        <v>87922</v>
      </c>
    </row>
    <row r="25" spans="1:12" x14ac:dyDescent="0.35">
      <c r="A25" t="s">
        <v>86</v>
      </c>
      <c r="B25" s="7">
        <v>1958</v>
      </c>
      <c r="C25" s="7"/>
      <c r="D25" s="7">
        <v>14335</v>
      </c>
      <c r="E25" s="7">
        <v>4694</v>
      </c>
      <c r="F25" s="7"/>
      <c r="G25" s="7"/>
      <c r="H25" s="7">
        <v>27</v>
      </c>
      <c r="I25" s="7">
        <v>235487</v>
      </c>
      <c r="J25" s="7">
        <v>14472</v>
      </c>
      <c r="K25" s="7"/>
      <c r="L25" s="7">
        <v>270966</v>
      </c>
    </row>
    <row r="26" spans="1:12" x14ac:dyDescent="0.35">
      <c r="A26" t="s">
        <v>88</v>
      </c>
      <c r="B26" s="7">
        <v>1118</v>
      </c>
      <c r="C26" s="7"/>
      <c r="D26" s="7">
        <v>1598</v>
      </c>
      <c r="E26" s="7">
        <v>147</v>
      </c>
      <c r="F26" s="7"/>
      <c r="G26" s="7"/>
      <c r="H26" s="7"/>
      <c r="I26" s="7">
        <v>6699</v>
      </c>
      <c r="J26" s="7">
        <v>8415</v>
      </c>
      <c r="K26" s="7"/>
      <c r="L26" s="7">
        <v>17980</v>
      </c>
    </row>
    <row r="27" spans="1:12" x14ac:dyDescent="0.35">
      <c r="A27" t="s">
        <v>90</v>
      </c>
      <c r="B27" s="7">
        <v>306</v>
      </c>
      <c r="C27" s="7"/>
      <c r="D27" s="7">
        <v>5146</v>
      </c>
      <c r="E27" s="7">
        <v>34</v>
      </c>
      <c r="F27" s="7"/>
      <c r="G27" s="7"/>
      <c r="H27" s="7"/>
      <c r="I27" s="7">
        <v>2505</v>
      </c>
      <c r="J27" s="7">
        <v>1659</v>
      </c>
      <c r="K27" s="7"/>
      <c r="L27" s="7">
        <v>9646</v>
      </c>
    </row>
    <row r="28" spans="1:12" x14ac:dyDescent="0.35">
      <c r="A28" t="s">
        <v>92</v>
      </c>
      <c r="B28" s="7"/>
      <c r="C28" s="7"/>
      <c r="D28" s="7">
        <v>92</v>
      </c>
      <c r="E28" s="7"/>
      <c r="F28" s="7"/>
      <c r="G28" s="7"/>
      <c r="H28" s="7"/>
      <c r="I28" s="7"/>
      <c r="J28" s="7"/>
      <c r="K28" s="7"/>
      <c r="L28" s="7">
        <v>92</v>
      </c>
    </row>
    <row r="29" spans="1:12" x14ac:dyDescent="0.35">
      <c r="A29" t="s">
        <v>94</v>
      </c>
      <c r="B29" s="7">
        <v>386</v>
      </c>
      <c r="C29" s="7"/>
      <c r="D29" s="7">
        <v>3258</v>
      </c>
      <c r="E29" s="7">
        <v>518</v>
      </c>
      <c r="F29" s="7"/>
      <c r="G29" s="7"/>
      <c r="H29" s="7">
        <v>68</v>
      </c>
      <c r="I29" s="7">
        <v>420</v>
      </c>
      <c r="J29" s="7">
        <v>1126</v>
      </c>
      <c r="K29" s="7"/>
      <c r="L29" s="7">
        <v>5775</v>
      </c>
    </row>
    <row r="30" spans="1:12" x14ac:dyDescent="0.35">
      <c r="A30" t="s">
        <v>236</v>
      </c>
      <c r="B30" s="7">
        <v>1326</v>
      </c>
      <c r="C30" s="7"/>
      <c r="D30" s="7">
        <v>10019</v>
      </c>
      <c r="E30" s="7">
        <v>7699</v>
      </c>
      <c r="F30" s="7"/>
      <c r="G30" s="7"/>
      <c r="H30" s="7"/>
      <c r="I30" s="7"/>
      <c r="J30" s="7"/>
      <c r="K30" s="7"/>
      <c r="L30" s="7">
        <v>19046</v>
      </c>
    </row>
    <row r="32" spans="1:12" x14ac:dyDescent="0.35">
      <c r="B32" s="7">
        <f>SUM(B9,B10:B21,B22*-1)</f>
        <v>3</v>
      </c>
      <c r="C32" s="7">
        <f t="shared" ref="C32:L32" si="0">SUM(C9,C10:C21,C22*-1)</f>
        <v>0</v>
      </c>
      <c r="D32" s="7">
        <f t="shared" si="0"/>
        <v>2</v>
      </c>
      <c r="E32" s="7">
        <f t="shared" si="0"/>
        <v>-1</v>
      </c>
      <c r="F32" s="7">
        <f t="shared" si="0"/>
        <v>0</v>
      </c>
      <c r="G32" s="7">
        <f t="shared" si="0"/>
        <v>0</v>
      </c>
      <c r="H32" s="7">
        <f t="shared" si="0"/>
        <v>-1</v>
      </c>
      <c r="I32" s="7">
        <f t="shared" si="0"/>
        <v>2</v>
      </c>
      <c r="J32" s="7">
        <f t="shared" si="0"/>
        <v>-5</v>
      </c>
      <c r="K32" s="7">
        <f t="shared" si="0"/>
        <v>0</v>
      </c>
      <c r="L32" s="7">
        <f t="shared" si="0"/>
        <v>3</v>
      </c>
    </row>
  </sheetData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Ark13"/>
  <dimension ref="A1:L32"/>
  <sheetViews>
    <sheetView workbookViewId="0">
      <selection activeCell="N35" sqref="N35"/>
    </sheetView>
  </sheetViews>
  <sheetFormatPr defaultRowHeight="14.5" x14ac:dyDescent="0.35"/>
  <cols>
    <col min="1" max="1" width="30" customWidth="1"/>
    <col min="2" max="2" width="11.54296875" customWidth="1"/>
    <col min="3" max="3" width="12" customWidth="1"/>
    <col min="4" max="4" width="14.54296875" customWidth="1"/>
    <col min="5" max="5" width="14.1796875" customWidth="1"/>
    <col min="8" max="8" width="22.81640625" customWidth="1"/>
    <col min="9" max="9" width="21.81640625" customWidth="1"/>
    <col min="10" max="10" width="13.81640625" customWidth="1"/>
    <col min="11" max="11" width="12.26953125" customWidth="1"/>
    <col min="12" max="12" width="11.81640625" customWidth="1"/>
  </cols>
  <sheetData>
    <row r="1" spans="1:12" x14ac:dyDescent="0.35">
      <c r="B1" t="s">
        <v>214</v>
      </c>
      <c r="C1" t="s">
        <v>2</v>
      </c>
      <c r="D1" t="s">
        <v>215</v>
      </c>
      <c r="E1" t="s">
        <v>216</v>
      </c>
      <c r="F1" t="s">
        <v>5</v>
      </c>
      <c r="G1" t="s">
        <v>6</v>
      </c>
      <c r="H1" t="s">
        <v>217</v>
      </c>
      <c r="I1" t="s">
        <v>8</v>
      </c>
      <c r="J1" t="s">
        <v>9</v>
      </c>
      <c r="K1" t="s">
        <v>10</v>
      </c>
      <c r="L1" t="s">
        <v>218</v>
      </c>
    </row>
    <row r="2" spans="1:12" x14ac:dyDescent="0.35">
      <c r="B2" t="s">
        <v>219</v>
      </c>
      <c r="C2" t="s">
        <v>219</v>
      </c>
      <c r="D2" t="s">
        <v>219</v>
      </c>
      <c r="E2" t="s">
        <v>219</v>
      </c>
      <c r="F2" t="s">
        <v>219</v>
      </c>
      <c r="G2" t="s">
        <v>219</v>
      </c>
      <c r="H2" t="s">
        <v>219</v>
      </c>
      <c r="I2" t="s">
        <v>219</v>
      </c>
      <c r="J2" t="s">
        <v>219</v>
      </c>
      <c r="K2" t="s">
        <v>219</v>
      </c>
      <c r="L2" t="s">
        <v>219</v>
      </c>
    </row>
    <row r="3" spans="1:12" x14ac:dyDescent="0.35">
      <c r="A3" t="s">
        <v>17</v>
      </c>
      <c r="B3" s="7">
        <v>153804</v>
      </c>
      <c r="C3" s="7">
        <v>403453</v>
      </c>
      <c r="D3" s="7"/>
      <c r="E3" s="7">
        <v>168713</v>
      </c>
      <c r="F3" s="7">
        <v>3188</v>
      </c>
      <c r="G3" s="7">
        <v>10396</v>
      </c>
      <c r="H3" s="7">
        <v>5009</v>
      </c>
      <c r="I3" s="7">
        <v>355020</v>
      </c>
      <c r="J3" s="7"/>
      <c r="K3" s="7">
        <v>83</v>
      </c>
      <c r="L3" s="7">
        <v>1099668</v>
      </c>
    </row>
    <row r="4" spans="1:12" x14ac:dyDescent="0.35">
      <c r="A4" t="s">
        <v>220</v>
      </c>
      <c r="B4" s="7">
        <v>8286</v>
      </c>
      <c r="C4" s="7">
        <v>31963</v>
      </c>
      <c r="D4" s="7">
        <v>117025</v>
      </c>
      <c r="E4" s="7">
        <v>13031</v>
      </c>
      <c r="F4" s="7"/>
      <c r="G4" s="7"/>
      <c r="H4" s="7"/>
      <c r="I4" s="7">
        <v>2</v>
      </c>
      <c r="J4" s="7">
        <v>3566</v>
      </c>
      <c r="K4" s="7"/>
      <c r="L4" s="7">
        <v>173873</v>
      </c>
    </row>
    <row r="5" spans="1:12" x14ac:dyDescent="0.35">
      <c r="A5" t="s">
        <v>221</v>
      </c>
      <c r="B5" s="7">
        <v>-54141</v>
      </c>
      <c r="C5" s="7">
        <v>-318043</v>
      </c>
      <c r="D5" s="7">
        <v>-41202</v>
      </c>
      <c r="E5" s="7">
        <v>-71405</v>
      </c>
      <c r="F5" s="7"/>
      <c r="G5" s="7"/>
      <c r="H5" s="7"/>
      <c r="I5" s="7">
        <v>-386</v>
      </c>
      <c r="J5" s="7">
        <v>-3038</v>
      </c>
      <c r="K5" s="7"/>
      <c r="L5" s="7">
        <v>-488215</v>
      </c>
    </row>
    <row r="6" spans="1:12" x14ac:dyDescent="0.35">
      <c r="A6" t="s">
        <v>222</v>
      </c>
      <c r="B6" s="7"/>
      <c r="C6" s="7"/>
      <c r="D6" s="7">
        <v>-5958</v>
      </c>
      <c r="E6" s="7"/>
      <c r="F6" s="7"/>
      <c r="G6" s="7"/>
      <c r="H6" s="7"/>
      <c r="I6" s="7"/>
      <c r="J6" s="7"/>
      <c r="K6" s="7"/>
      <c r="L6" s="7">
        <v>-5958</v>
      </c>
    </row>
    <row r="7" spans="1:12" x14ac:dyDescent="0.35">
      <c r="A7" t="s">
        <v>223</v>
      </c>
      <c r="B7" s="7"/>
      <c r="C7" s="7"/>
      <c r="D7" s="7">
        <v>-7768</v>
      </c>
      <c r="E7" s="7"/>
      <c r="F7" s="7"/>
      <c r="G7" s="7"/>
      <c r="H7" s="7"/>
      <c r="I7" s="7"/>
      <c r="J7" s="7"/>
      <c r="K7" s="7"/>
      <c r="L7" s="7">
        <v>-7768</v>
      </c>
    </row>
    <row r="8" spans="1:12" x14ac:dyDescent="0.35">
      <c r="A8" t="s">
        <v>224</v>
      </c>
      <c r="B8" s="7">
        <v>-1023</v>
      </c>
      <c r="C8" s="7">
        <v>2953</v>
      </c>
      <c r="D8" s="7">
        <v>339</v>
      </c>
      <c r="E8" s="7"/>
      <c r="F8" s="7"/>
      <c r="G8" s="7"/>
      <c r="H8" s="7"/>
      <c r="I8" s="7">
        <v>1</v>
      </c>
      <c r="J8" s="7"/>
      <c r="K8" s="7"/>
      <c r="L8" s="7">
        <v>2268</v>
      </c>
    </row>
    <row r="9" spans="1:12" x14ac:dyDescent="0.35">
      <c r="A9" t="s">
        <v>225</v>
      </c>
      <c r="B9" s="7">
        <v>106925</v>
      </c>
      <c r="C9" s="7">
        <v>120324</v>
      </c>
      <c r="D9" s="7">
        <v>62437</v>
      </c>
      <c r="E9" s="7">
        <v>110339</v>
      </c>
      <c r="F9" s="7">
        <v>3188</v>
      </c>
      <c r="G9" s="7">
        <v>10396</v>
      </c>
      <c r="H9" s="7">
        <v>5009</v>
      </c>
      <c r="I9" s="7">
        <v>354635</v>
      </c>
      <c r="J9" s="7">
        <v>526</v>
      </c>
      <c r="K9" s="7">
        <v>83</v>
      </c>
      <c r="L9" s="7">
        <v>773867</v>
      </c>
    </row>
    <row r="10" spans="1:12" x14ac:dyDescent="0.35">
      <c r="A10" t="s">
        <v>226</v>
      </c>
      <c r="B10" s="7"/>
      <c r="C10" s="7">
        <v>-17542</v>
      </c>
      <c r="D10" s="7">
        <v>18877</v>
      </c>
      <c r="E10" s="7"/>
      <c r="F10" s="7"/>
      <c r="G10" s="7"/>
      <c r="H10" s="7"/>
      <c r="I10" s="7"/>
      <c r="J10" s="7"/>
      <c r="K10" s="7"/>
      <c r="L10" s="7">
        <v>1336</v>
      </c>
    </row>
    <row r="11" spans="1:12" x14ac:dyDescent="0.35">
      <c r="A11" t="s">
        <v>227</v>
      </c>
      <c r="B11" s="7">
        <v>864</v>
      </c>
      <c r="C11" s="7">
        <v>3725</v>
      </c>
      <c r="D11" s="7">
        <v>-94</v>
      </c>
      <c r="E11" s="7">
        <v>1050</v>
      </c>
      <c r="F11" s="7"/>
      <c r="G11" s="7"/>
      <c r="H11" s="7"/>
      <c r="I11" s="7">
        <v>-1935</v>
      </c>
      <c r="J11" s="7">
        <v>115</v>
      </c>
      <c r="K11" s="7"/>
      <c r="L11" s="7">
        <v>3725</v>
      </c>
    </row>
    <row r="12" spans="1:12" x14ac:dyDescent="0.35">
      <c r="A12" t="s">
        <v>228</v>
      </c>
      <c r="B12" s="7">
        <v>-65715</v>
      </c>
      <c r="C12" s="7">
        <v>-793</v>
      </c>
      <c r="D12" s="7">
        <v>-22709</v>
      </c>
      <c r="E12" s="7">
        <v>-58288</v>
      </c>
      <c r="F12" s="7">
        <v>-3188</v>
      </c>
      <c r="G12" s="7">
        <v>-10396</v>
      </c>
      <c r="H12" s="7">
        <v>-4850</v>
      </c>
      <c r="I12" s="7">
        <v>-760</v>
      </c>
      <c r="J12" s="7">
        <v>66693</v>
      </c>
      <c r="K12" s="7">
        <v>-83</v>
      </c>
      <c r="L12" s="7">
        <v>-100093</v>
      </c>
    </row>
    <row r="13" spans="1:12" x14ac:dyDescent="0.35">
      <c r="A13" t="s">
        <v>66</v>
      </c>
      <c r="B13" s="7"/>
      <c r="C13" s="7"/>
      <c r="D13" s="7"/>
      <c r="E13" s="7">
        <v>-25</v>
      </c>
      <c r="F13" s="7"/>
      <c r="G13" s="7"/>
      <c r="H13" s="7"/>
      <c r="I13" s="7">
        <v>-330</v>
      </c>
      <c r="J13" s="7">
        <v>58</v>
      </c>
      <c r="K13" s="7"/>
      <c r="L13" s="7">
        <v>-297</v>
      </c>
    </row>
    <row r="14" spans="1:12" x14ac:dyDescent="0.35">
      <c r="A14" t="s">
        <v>229</v>
      </c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</row>
    <row r="15" spans="1:12" x14ac:dyDescent="0.35">
      <c r="A15" t="s">
        <v>230</v>
      </c>
      <c r="B15" s="7">
        <v>-1434</v>
      </c>
      <c r="C15" s="7"/>
      <c r="D15" s="7"/>
      <c r="E15" s="7"/>
      <c r="F15" s="7"/>
      <c r="G15" s="7"/>
      <c r="H15" s="7"/>
      <c r="I15" s="7"/>
      <c r="J15" s="7"/>
      <c r="K15" s="7"/>
      <c r="L15" s="7">
        <v>-1434</v>
      </c>
    </row>
    <row r="16" spans="1:12" x14ac:dyDescent="0.35">
      <c r="A16" t="s">
        <v>70</v>
      </c>
      <c r="B16" s="7"/>
      <c r="C16" s="7">
        <v>-109031</v>
      </c>
      <c r="D16" s="7">
        <v>105397</v>
      </c>
      <c r="E16" s="7"/>
      <c r="F16" s="7"/>
      <c r="G16" s="7"/>
      <c r="H16" s="7"/>
      <c r="I16" s="7"/>
      <c r="J16" s="7"/>
      <c r="K16" s="7"/>
      <c r="L16" s="7">
        <v>-3639</v>
      </c>
    </row>
    <row r="17" spans="1:12" x14ac:dyDescent="0.35">
      <c r="A17" t="s">
        <v>231</v>
      </c>
      <c r="B17" s="7">
        <v>-1910</v>
      </c>
      <c r="C17" s="7"/>
      <c r="D17" s="7"/>
      <c r="E17" s="7"/>
      <c r="F17" s="7"/>
      <c r="G17" s="7"/>
      <c r="H17" s="7"/>
      <c r="I17" s="7"/>
      <c r="J17" s="7"/>
      <c r="K17" s="7"/>
      <c r="L17" s="7">
        <v>-1910</v>
      </c>
    </row>
    <row r="18" spans="1:12" x14ac:dyDescent="0.35">
      <c r="A18" t="s">
        <v>232</v>
      </c>
      <c r="B18" s="7">
        <v>-5172</v>
      </c>
      <c r="C18" s="7">
        <v>5318</v>
      </c>
      <c r="D18" s="7"/>
      <c r="E18" s="7">
        <v>-2991</v>
      </c>
      <c r="F18" s="7"/>
      <c r="G18" s="7"/>
      <c r="H18" s="7"/>
      <c r="I18" s="7"/>
      <c r="J18" s="7"/>
      <c r="K18" s="7"/>
      <c r="L18" s="7">
        <v>-2845</v>
      </c>
    </row>
    <row r="19" spans="1:12" x14ac:dyDescent="0.35">
      <c r="A19" t="s">
        <v>233</v>
      </c>
      <c r="B19" s="7"/>
      <c r="C19" s="7"/>
      <c r="D19" s="7">
        <v>-9</v>
      </c>
      <c r="E19" s="7"/>
      <c r="F19" s="7"/>
      <c r="G19" s="7"/>
      <c r="H19" s="7"/>
      <c r="I19" s="7">
        <v>-55958</v>
      </c>
      <c r="J19" s="7"/>
      <c r="K19" s="7"/>
      <c r="L19" s="7">
        <v>-55966</v>
      </c>
    </row>
    <row r="20" spans="1:12" x14ac:dyDescent="0.35">
      <c r="A20" t="s">
        <v>234</v>
      </c>
      <c r="B20" s="7">
        <v>-13358</v>
      </c>
      <c r="C20" s="7">
        <v>-871</v>
      </c>
      <c r="D20" s="7">
        <v>-3310</v>
      </c>
      <c r="E20" s="7">
        <v>-11955</v>
      </c>
      <c r="F20" s="7"/>
      <c r="G20" s="7"/>
      <c r="H20" s="7"/>
      <c r="I20" s="7"/>
      <c r="J20" s="7">
        <v>-4424</v>
      </c>
      <c r="K20" s="7"/>
      <c r="L20" s="7">
        <v>-33921</v>
      </c>
    </row>
    <row r="21" spans="1:12" x14ac:dyDescent="0.35">
      <c r="A21" t="s">
        <v>235</v>
      </c>
      <c r="B21" s="7">
        <v>-34</v>
      </c>
      <c r="C21" s="7">
        <v>-1124</v>
      </c>
      <c r="D21" s="7">
        <v>-93</v>
      </c>
      <c r="E21" s="7">
        <v>-490</v>
      </c>
      <c r="F21" s="7"/>
      <c r="G21" s="7"/>
      <c r="H21" s="7"/>
      <c r="I21" s="7">
        <v>-35</v>
      </c>
      <c r="J21" s="7">
        <v>-9351</v>
      </c>
      <c r="K21" s="7"/>
      <c r="L21" s="7">
        <v>-11127</v>
      </c>
    </row>
    <row r="22" spans="1:12" x14ac:dyDescent="0.35">
      <c r="A22" t="s">
        <v>131</v>
      </c>
      <c r="B22" s="7">
        <v>20165</v>
      </c>
      <c r="C22" s="7">
        <v>7</v>
      </c>
      <c r="D22" s="7">
        <v>160498</v>
      </c>
      <c r="E22" s="7">
        <v>37644</v>
      </c>
      <c r="F22" s="7"/>
      <c r="G22" s="7"/>
      <c r="H22" s="7">
        <v>158</v>
      </c>
      <c r="I22" s="7">
        <v>295618</v>
      </c>
      <c r="J22" s="7">
        <v>53611</v>
      </c>
      <c r="K22" s="7"/>
      <c r="L22" s="7">
        <v>567708</v>
      </c>
    </row>
    <row r="23" spans="1:12" x14ac:dyDescent="0.35">
      <c r="A23" t="s">
        <v>80</v>
      </c>
      <c r="B23" s="7">
        <v>12966</v>
      </c>
      <c r="C23" s="7"/>
      <c r="D23" s="7">
        <v>18228</v>
      </c>
      <c r="E23" s="7">
        <v>17107</v>
      </c>
      <c r="F23" s="7"/>
      <c r="G23" s="7"/>
      <c r="H23" s="7"/>
      <c r="I23" s="7">
        <v>18677</v>
      </c>
      <c r="J23" s="7">
        <v>21276</v>
      </c>
      <c r="K23" s="7"/>
      <c r="L23" s="7">
        <v>88255</v>
      </c>
    </row>
    <row r="24" spans="1:12" x14ac:dyDescent="0.35">
      <c r="A24" t="s">
        <v>82</v>
      </c>
      <c r="B24" s="7">
        <v>10</v>
      </c>
      <c r="C24" s="7">
        <v>7</v>
      </c>
      <c r="D24" s="7">
        <v>109806</v>
      </c>
      <c r="E24" s="7">
        <v>1012</v>
      </c>
      <c r="F24" s="7"/>
      <c r="G24" s="7"/>
      <c r="H24" s="7"/>
      <c r="I24" s="7">
        <v>39</v>
      </c>
      <c r="J24" s="7">
        <v>472</v>
      </c>
      <c r="K24" s="7"/>
      <c r="L24" s="7">
        <v>111346</v>
      </c>
    </row>
    <row r="25" spans="1:12" x14ac:dyDescent="0.35">
      <c r="A25" t="s">
        <v>86</v>
      </c>
      <c r="B25" s="7">
        <v>3614</v>
      </c>
      <c r="C25" s="7"/>
      <c r="D25" s="7">
        <v>14196</v>
      </c>
      <c r="E25" s="7">
        <v>8478</v>
      </c>
      <c r="F25" s="7"/>
      <c r="G25" s="7"/>
      <c r="H25" s="7">
        <v>45</v>
      </c>
      <c r="I25" s="7">
        <v>263896</v>
      </c>
      <c r="J25" s="7">
        <v>18503</v>
      </c>
      <c r="K25" s="7"/>
      <c r="L25" s="7">
        <v>308731</v>
      </c>
    </row>
    <row r="26" spans="1:12" x14ac:dyDescent="0.35">
      <c r="A26" t="s">
        <v>88</v>
      </c>
      <c r="B26" s="7">
        <v>1804</v>
      </c>
      <c r="C26" s="7"/>
      <c r="D26" s="7">
        <v>1885</v>
      </c>
      <c r="E26" s="7">
        <v>418</v>
      </c>
      <c r="F26" s="7"/>
      <c r="G26" s="7"/>
      <c r="H26" s="7">
        <v>2</v>
      </c>
      <c r="I26" s="7">
        <v>9645</v>
      </c>
      <c r="J26" s="7">
        <v>9423</v>
      </c>
      <c r="K26" s="7"/>
      <c r="L26" s="7">
        <v>23179</v>
      </c>
    </row>
    <row r="27" spans="1:12" x14ac:dyDescent="0.35">
      <c r="A27" t="s">
        <v>90</v>
      </c>
      <c r="B27" s="7">
        <v>377</v>
      </c>
      <c r="C27" s="7"/>
      <c r="D27" s="7">
        <v>4451</v>
      </c>
      <c r="E27" s="7">
        <v>60</v>
      </c>
      <c r="F27" s="7"/>
      <c r="G27" s="7"/>
      <c r="H27" s="7"/>
      <c r="I27" s="7">
        <v>2918</v>
      </c>
      <c r="J27" s="7">
        <v>2031</v>
      </c>
      <c r="K27" s="7"/>
      <c r="L27" s="7">
        <v>9839</v>
      </c>
    </row>
    <row r="28" spans="1:12" x14ac:dyDescent="0.35">
      <c r="A28" t="s">
        <v>92</v>
      </c>
      <c r="B28" s="7"/>
      <c r="C28" s="7"/>
      <c r="D28" s="7">
        <v>73</v>
      </c>
      <c r="E28" s="7"/>
      <c r="F28" s="7"/>
      <c r="G28" s="7"/>
      <c r="H28" s="7"/>
      <c r="I28" s="7"/>
      <c r="J28" s="7"/>
      <c r="K28" s="7"/>
      <c r="L28" s="7">
        <v>73</v>
      </c>
    </row>
    <row r="29" spans="1:12" x14ac:dyDescent="0.35">
      <c r="A29" t="s">
        <v>94</v>
      </c>
      <c r="B29" s="7">
        <v>101</v>
      </c>
      <c r="C29" s="7"/>
      <c r="D29" s="7">
        <v>4013</v>
      </c>
      <c r="E29" s="7">
        <v>577</v>
      </c>
      <c r="F29" s="7"/>
      <c r="G29" s="7"/>
      <c r="H29" s="7">
        <v>111</v>
      </c>
      <c r="I29" s="7">
        <v>443</v>
      </c>
      <c r="J29" s="7">
        <v>1913</v>
      </c>
      <c r="K29" s="7"/>
      <c r="L29" s="7">
        <v>7160</v>
      </c>
    </row>
    <row r="30" spans="1:12" x14ac:dyDescent="0.35">
      <c r="A30" t="s">
        <v>236</v>
      </c>
      <c r="B30" s="7">
        <v>1293</v>
      </c>
      <c r="C30" s="7"/>
      <c r="D30" s="7">
        <v>7850</v>
      </c>
      <c r="E30" s="7">
        <v>9991</v>
      </c>
      <c r="F30" s="7"/>
      <c r="G30" s="7"/>
      <c r="H30" s="7"/>
      <c r="I30" s="7"/>
      <c r="J30" s="7"/>
      <c r="K30" s="7"/>
      <c r="L30" s="7">
        <v>19133</v>
      </c>
    </row>
    <row r="32" spans="1:12" x14ac:dyDescent="0.35">
      <c r="B32" s="7">
        <f>SUM(B9,B10:B21,B22*-1)</f>
        <v>1</v>
      </c>
      <c r="C32" s="7">
        <f t="shared" ref="C32:L32" si="0">SUM(C9,C10:C21,C22*-1)</f>
        <v>-1</v>
      </c>
      <c r="D32" s="7">
        <f t="shared" si="0"/>
        <v>-2</v>
      </c>
      <c r="E32" s="7">
        <f t="shared" si="0"/>
        <v>-4</v>
      </c>
      <c r="F32" s="7">
        <f t="shared" si="0"/>
        <v>0</v>
      </c>
      <c r="G32" s="7">
        <f t="shared" si="0"/>
        <v>0</v>
      </c>
      <c r="H32" s="7">
        <f t="shared" si="0"/>
        <v>1</v>
      </c>
      <c r="I32" s="7">
        <f t="shared" si="0"/>
        <v>-1</v>
      </c>
      <c r="J32" s="7">
        <f t="shared" si="0"/>
        <v>6</v>
      </c>
      <c r="K32" s="7">
        <f t="shared" si="0"/>
        <v>0</v>
      </c>
      <c r="L32" s="7">
        <f t="shared" si="0"/>
        <v>-12</v>
      </c>
    </row>
  </sheetData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Ark14"/>
  <dimension ref="A1:L32"/>
  <sheetViews>
    <sheetView workbookViewId="0">
      <selection activeCell="K22" sqref="K22"/>
    </sheetView>
  </sheetViews>
  <sheetFormatPr defaultRowHeight="14.5" x14ac:dyDescent="0.35"/>
  <cols>
    <col min="1" max="1" width="30" customWidth="1"/>
    <col min="2" max="2" width="11.54296875" customWidth="1"/>
    <col min="3" max="3" width="12" customWidth="1"/>
    <col min="4" max="4" width="14.54296875" customWidth="1"/>
    <col min="5" max="5" width="14.1796875" customWidth="1"/>
    <col min="8" max="8" width="22.81640625" customWidth="1"/>
    <col min="9" max="9" width="21.81640625" customWidth="1"/>
    <col min="10" max="10" width="13.81640625" customWidth="1"/>
    <col min="11" max="11" width="12.26953125" customWidth="1"/>
    <col min="12" max="12" width="11.81640625" customWidth="1"/>
  </cols>
  <sheetData>
    <row r="1" spans="1:12" x14ac:dyDescent="0.35">
      <c r="B1" t="s">
        <v>214</v>
      </c>
      <c r="C1" t="s">
        <v>2</v>
      </c>
      <c r="D1" t="s">
        <v>215</v>
      </c>
      <c r="E1" t="s">
        <v>216</v>
      </c>
      <c r="F1" t="s">
        <v>5</v>
      </c>
      <c r="G1" t="s">
        <v>6</v>
      </c>
      <c r="H1" t="s">
        <v>217</v>
      </c>
      <c r="I1" t="s">
        <v>8</v>
      </c>
      <c r="J1" t="s">
        <v>9</v>
      </c>
      <c r="K1" t="s">
        <v>10</v>
      </c>
      <c r="L1" t="s">
        <v>218</v>
      </c>
    </row>
    <row r="2" spans="1:12" x14ac:dyDescent="0.35">
      <c r="B2" t="s">
        <v>219</v>
      </c>
      <c r="C2" t="s">
        <v>219</v>
      </c>
      <c r="D2" t="s">
        <v>219</v>
      </c>
      <c r="E2" t="s">
        <v>219</v>
      </c>
      <c r="F2" t="s">
        <v>219</v>
      </c>
      <c r="G2" t="s">
        <v>219</v>
      </c>
      <c r="H2" t="s">
        <v>219</v>
      </c>
      <c r="I2" t="s">
        <v>219</v>
      </c>
      <c r="J2" t="s">
        <v>219</v>
      </c>
      <c r="K2" t="s">
        <v>219</v>
      </c>
      <c r="L2" t="s">
        <v>219</v>
      </c>
    </row>
    <row r="3" spans="1:12" x14ac:dyDescent="0.35">
      <c r="A3" t="s">
        <v>17</v>
      </c>
      <c r="B3" s="7">
        <v>157479</v>
      </c>
      <c r="C3" s="7">
        <v>403909</v>
      </c>
      <c r="D3" s="7"/>
      <c r="E3" s="7">
        <v>207147</v>
      </c>
      <c r="F3" s="7">
        <v>3017</v>
      </c>
      <c r="G3" s="7">
        <v>11278</v>
      </c>
      <c r="H3" s="7">
        <v>6836</v>
      </c>
      <c r="I3" s="7">
        <v>378928</v>
      </c>
      <c r="J3" s="7"/>
      <c r="K3" s="7">
        <v>122</v>
      </c>
      <c r="L3" s="7">
        <v>1168718</v>
      </c>
    </row>
    <row r="4" spans="1:12" x14ac:dyDescent="0.35">
      <c r="A4" t="s">
        <v>220</v>
      </c>
      <c r="B4" s="7">
        <v>12236</v>
      </c>
      <c r="C4" s="7">
        <v>32678</v>
      </c>
      <c r="D4" s="7">
        <v>118170</v>
      </c>
      <c r="E4" s="7">
        <v>10581</v>
      </c>
      <c r="F4" s="7"/>
      <c r="G4" s="7"/>
      <c r="H4" s="7"/>
      <c r="I4" s="7">
        <v>2</v>
      </c>
      <c r="J4" s="7">
        <v>3279</v>
      </c>
      <c r="K4" s="7"/>
      <c r="L4" s="7">
        <v>176943</v>
      </c>
    </row>
    <row r="5" spans="1:12" x14ac:dyDescent="0.35">
      <c r="A5" t="s">
        <v>221</v>
      </c>
      <c r="B5" s="7">
        <v>-55922</v>
      </c>
      <c r="C5" s="7">
        <v>-315299</v>
      </c>
      <c r="D5" s="7">
        <v>-37520</v>
      </c>
      <c r="E5" s="7">
        <v>-84393</v>
      </c>
      <c r="F5" s="7"/>
      <c r="G5" s="7"/>
      <c r="H5" s="7"/>
      <c r="I5" s="7">
        <v>-291</v>
      </c>
      <c r="J5" s="7">
        <v>-2810</v>
      </c>
      <c r="K5" s="7"/>
      <c r="L5" s="7">
        <v>-496231</v>
      </c>
    </row>
    <row r="6" spans="1:12" x14ac:dyDescent="0.35">
      <c r="A6" t="s">
        <v>222</v>
      </c>
      <c r="B6" s="7"/>
      <c r="C6" s="7"/>
      <c r="D6" s="7">
        <v>-5258</v>
      </c>
      <c r="E6" s="7"/>
      <c r="F6" s="7"/>
      <c r="G6" s="7"/>
      <c r="H6" s="7"/>
      <c r="I6" s="7"/>
      <c r="J6" s="7"/>
      <c r="K6" s="7"/>
      <c r="L6" s="7">
        <v>-5258</v>
      </c>
    </row>
    <row r="7" spans="1:12" x14ac:dyDescent="0.35">
      <c r="A7" t="s">
        <v>223</v>
      </c>
      <c r="B7" s="7"/>
      <c r="C7" s="7"/>
      <c r="D7" s="7">
        <v>-8843</v>
      </c>
      <c r="E7" s="7"/>
      <c r="F7" s="7"/>
      <c r="G7" s="7"/>
      <c r="H7" s="7"/>
      <c r="I7" s="7"/>
      <c r="J7" s="7"/>
      <c r="K7" s="7"/>
      <c r="L7" s="7">
        <v>-8843</v>
      </c>
    </row>
    <row r="8" spans="1:12" x14ac:dyDescent="0.35">
      <c r="A8" t="s">
        <v>224</v>
      </c>
      <c r="B8" s="7">
        <v>-283</v>
      </c>
      <c r="C8" s="7">
        <v>-483</v>
      </c>
      <c r="D8" s="7">
        <v>2151</v>
      </c>
      <c r="E8" s="7"/>
      <c r="F8" s="7"/>
      <c r="G8" s="7"/>
      <c r="H8" s="7"/>
      <c r="I8" s="7"/>
      <c r="J8" s="7"/>
      <c r="K8" s="7"/>
      <c r="L8" s="7">
        <v>1388</v>
      </c>
    </row>
    <row r="9" spans="1:12" x14ac:dyDescent="0.35">
      <c r="A9" t="s">
        <v>225</v>
      </c>
      <c r="B9" s="7">
        <v>113511</v>
      </c>
      <c r="C9" s="7">
        <v>120808</v>
      </c>
      <c r="D9" s="7">
        <v>68708</v>
      </c>
      <c r="E9" s="7">
        <v>133336</v>
      </c>
      <c r="F9" s="7">
        <v>3017</v>
      </c>
      <c r="G9" s="7">
        <v>11278</v>
      </c>
      <c r="H9" s="7">
        <v>6836</v>
      </c>
      <c r="I9" s="7">
        <v>378639</v>
      </c>
      <c r="J9" s="7">
        <v>466</v>
      </c>
      <c r="K9" s="7">
        <v>122</v>
      </c>
      <c r="L9" s="7">
        <v>836725</v>
      </c>
    </row>
    <row r="10" spans="1:12" x14ac:dyDescent="0.35">
      <c r="A10" t="s">
        <v>226</v>
      </c>
      <c r="B10" s="7"/>
      <c r="C10" s="7">
        <v>-18029</v>
      </c>
      <c r="D10" s="7">
        <v>19409</v>
      </c>
      <c r="E10" s="7"/>
      <c r="F10" s="7"/>
      <c r="G10" s="7"/>
      <c r="H10" s="7"/>
      <c r="I10" s="7"/>
      <c r="J10" s="7"/>
      <c r="K10" s="7"/>
      <c r="L10" s="7">
        <v>1382</v>
      </c>
    </row>
    <row r="11" spans="1:12" x14ac:dyDescent="0.35">
      <c r="A11" t="s">
        <v>227</v>
      </c>
      <c r="B11" s="7">
        <v>-832</v>
      </c>
      <c r="C11" s="7">
        <v>1554</v>
      </c>
      <c r="D11" s="7">
        <v>1700</v>
      </c>
      <c r="E11" s="7">
        <v>120</v>
      </c>
      <c r="F11" s="7"/>
      <c r="G11" s="7"/>
      <c r="H11" s="7"/>
      <c r="I11" s="7">
        <v>-173</v>
      </c>
      <c r="J11" s="7">
        <v>1335</v>
      </c>
      <c r="K11" s="7"/>
      <c r="L11" s="7">
        <v>3701</v>
      </c>
    </row>
    <row r="12" spans="1:12" x14ac:dyDescent="0.35">
      <c r="A12" t="s">
        <v>228</v>
      </c>
      <c r="B12" s="7">
        <v>-65511</v>
      </c>
      <c r="C12" s="7">
        <v>-810</v>
      </c>
      <c r="D12" s="7">
        <v>-17571</v>
      </c>
      <c r="E12" s="7">
        <v>-69927</v>
      </c>
      <c r="F12" s="7">
        <v>-3017</v>
      </c>
      <c r="G12" s="7">
        <v>-11278</v>
      </c>
      <c r="H12" s="7">
        <v>-6647</v>
      </c>
      <c r="I12" s="7">
        <v>-815</v>
      </c>
      <c r="J12" s="7">
        <v>71665</v>
      </c>
      <c r="K12" s="7">
        <v>-122</v>
      </c>
      <c r="L12" s="7">
        <v>-104031</v>
      </c>
    </row>
    <row r="13" spans="1:12" x14ac:dyDescent="0.35">
      <c r="A13" t="s">
        <v>66</v>
      </c>
      <c r="B13" s="7"/>
      <c r="C13" s="7"/>
      <c r="D13" s="7"/>
      <c r="E13" s="7">
        <v>-51</v>
      </c>
      <c r="F13" s="7"/>
      <c r="G13" s="7"/>
      <c r="H13" s="7"/>
      <c r="I13" s="7">
        <v>-347</v>
      </c>
      <c r="J13" s="7">
        <v>90</v>
      </c>
      <c r="K13" s="7"/>
      <c r="L13" s="7">
        <v>-307</v>
      </c>
    </row>
    <row r="14" spans="1:12" x14ac:dyDescent="0.35">
      <c r="A14" t="s">
        <v>229</v>
      </c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</row>
    <row r="15" spans="1:12" x14ac:dyDescent="0.35">
      <c r="A15" t="s">
        <v>230</v>
      </c>
      <c r="B15" s="7">
        <v>-1331</v>
      </c>
      <c r="C15" s="7"/>
      <c r="D15" s="7"/>
      <c r="E15" s="7"/>
      <c r="F15" s="7"/>
      <c r="G15" s="7"/>
      <c r="H15" s="7"/>
      <c r="I15" s="7"/>
      <c r="J15" s="7"/>
      <c r="K15" s="7"/>
      <c r="L15" s="7">
        <v>-1331</v>
      </c>
    </row>
    <row r="16" spans="1:12" x14ac:dyDescent="0.35">
      <c r="A16" t="s">
        <v>70</v>
      </c>
      <c r="B16" s="7"/>
      <c r="C16" s="7">
        <v>-106977</v>
      </c>
      <c r="D16" s="7">
        <v>102912</v>
      </c>
      <c r="E16" s="7"/>
      <c r="F16" s="7"/>
      <c r="G16" s="7"/>
      <c r="H16" s="7"/>
      <c r="I16" s="7"/>
      <c r="J16" s="7"/>
      <c r="K16" s="7"/>
      <c r="L16" s="7">
        <v>-4064</v>
      </c>
    </row>
    <row r="17" spans="1:12" x14ac:dyDescent="0.35">
      <c r="A17" t="s">
        <v>231</v>
      </c>
      <c r="B17" s="7">
        <v>-2010</v>
      </c>
      <c r="C17" s="7"/>
      <c r="D17" s="7"/>
      <c r="E17" s="7"/>
      <c r="F17" s="7"/>
      <c r="G17" s="7"/>
      <c r="H17" s="7"/>
      <c r="I17" s="7"/>
      <c r="J17" s="7"/>
      <c r="K17" s="7"/>
      <c r="L17" s="7">
        <v>-2010</v>
      </c>
    </row>
    <row r="18" spans="1:12" x14ac:dyDescent="0.35">
      <c r="A18" t="s">
        <v>232</v>
      </c>
      <c r="B18" s="7">
        <v>-4922</v>
      </c>
      <c r="C18" s="7">
        <v>4879</v>
      </c>
      <c r="D18" s="7"/>
      <c r="E18" s="7">
        <v>-2508</v>
      </c>
      <c r="F18" s="7"/>
      <c r="G18" s="7"/>
      <c r="H18" s="7"/>
      <c r="I18" s="7"/>
      <c r="J18" s="7"/>
      <c r="K18" s="7"/>
      <c r="L18" s="7">
        <v>-2551</v>
      </c>
    </row>
    <row r="19" spans="1:12" x14ac:dyDescent="0.35">
      <c r="A19" t="s">
        <v>233</v>
      </c>
      <c r="B19" s="7"/>
      <c r="C19" s="7"/>
      <c r="D19" s="7">
        <v>-15</v>
      </c>
      <c r="E19" s="7"/>
      <c r="F19" s="7"/>
      <c r="G19" s="7"/>
      <c r="H19" s="7"/>
      <c r="I19" s="7">
        <v>-66987</v>
      </c>
      <c r="J19" s="7"/>
      <c r="K19" s="7"/>
      <c r="L19" s="7">
        <v>-67002</v>
      </c>
    </row>
    <row r="20" spans="1:12" x14ac:dyDescent="0.35">
      <c r="A20" t="s">
        <v>234</v>
      </c>
      <c r="B20" s="7">
        <v>-14107</v>
      </c>
      <c r="C20" s="7">
        <v>-682</v>
      </c>
      <c r="D20" s="7">
        <v>-3354</v>
      </c>
      <c r="E20" s="7">
        <v>-13359</v>
      </c>
      <c r="F20" s="7"/>
      <c r="G20" s="7"/>
      <c r="H20" s="7">
        <v>-3</v>
      </c>
      <c r="I20" s="7">
        <v>-5</v>
      </c>
      <c r="J20" s="7">
        <v>-4560</v>
      </c>
      <c r="K20" s="7"/>
      <c r="L20" s="7">
        <v>-36070</v>
      </c>
    </row>
    <row r="21" spans="1:12" x14ac:dyDescent="0.35">
      <c r="A21" t="s">
        <v>235</v>
      </c>
      <c r="B21" s="7">
        <v>-95</v>
      </c>
      <c r="C21" s="7">
        <v>-679</v>
      </c>
      <c r="D21" s="7">
        <v>-207</v>
      </c>
      <c r="E21" s="7">
        <v>-460</v>
      </c>
      <c r="F21" s="7"/>
      <c r="G21" s="7"/>
      <c r="H21" s="7"/>
      <c r="I21" s="7">
        <v>-33</v>
      </c>
      <c r="J21" s="7">
        <v>-10493</v>
      </c>
      <c r="K21" s="7"/>
      <c r="L21" s="7">
        <v>-11964</v>
      </c>
    </row>
    <row r="22" spans="1:12" x14ac:dyDescent="0.35">
      <c r="A22" t="s">
        <v>131</v>
      </c>
      <c r="B22" s="7">
        <v>24700</v>
      </c>
      <c r="C22" s="7">
        <v>63</v>
      </c>
      <c r="D22" s="7">
        <v>171582</v>
      </c>
      <c r="E22" s="7">
        <v>47155</v>
      </c>
      <c r="F22" s="7"/>
      <c r="G22" s="7"/>
      <c r="H22" s="7">
        <v>187</v>
      </c>
      <c r="I22" s="7">
        <v>310280</v>
      </c>
      <c r="J22" s="7">
        <v>58511</v>
      </c>
      <c r="K22" s="7"/>
      <c r="L22" s="7">
        <v>612473</v>
      </c>
    </row>
    <row r="23" spans="1:12" x14ac:dyDescent="0.35">
      <c r="A23" t="s">
        <v>80</v>
      </c>
      <c r="B23" s="7">
        <v>14896</v>
      </c>
      <c r="C23" s="7"/>
      <c r="D23" s="7">
        <v>17176</v>
      </c>
      <c r="E23" s="7">
        <v>19748</v>
      </c>
      <c r="F23" s="7"/>
      <c r="G23" s="7"/>
      <c r="H23" s="7"/>
      <c r="I23" s="7">
        <v>16359</v>
      </c>
      <c r="J23" s="7">
        <v>22679</v>
      </c>
      <c r="K23" s="7"/>
      <c r="L23" s="7">
        <v>90862</v>
      </c>
    </row>
    <row r="24" spans="1:12" x14ac:dyDescent="0.35">
      <c r="A24" t="s">
        <v>82</v>
      </c>
      <c r="B24" s="7">
        <v>8</v>
      </c>
      <c r="C24" s="7">
        <v>63</v>
      </c>
      <c r="D24" s="7">
        <v>121855</v>
      </c>
      <c r="E24" s="7">
        <v>1223</v>
      </c>
      <c r="F24" s="7"/>
      <c r="G24" s="7"/>
      <c r="H24" s="7"/>
      <c r="I24" s="7">
        <v>44</v>
      </c>
      <c r="J24" s="7">
        <v>459</v>
      </c>
      <c r="K24" s="7"/>
      <c r="L24" s="7">
        <v>123651</v>
      </c>
    </row>
    <row r="25" spans="1:12" x14ac:dyDescent="0.35">
      <c r="A25" t="s">
        <v>86</v>
      </c>
      <c r="B25" s="7">
        <v>5327</v>
      </c>
      <c r="C25" s="7"/>
      <c r="D25" s="7">
        <v>14460</v>
      </c>
      <c r="E25" s="7">
        <v>11554</v>
      </c>
      <c r="F25" s="7"/>
      <c r="G25" s="7"/>
      <c r="H25" s="7">
        <v>56</v>
      </c>
      <c r="I25" s="7">
        <v>279600</v>
      </c>
      <c r="J25" s="7">
        <v>20805</v>
      </c>
      <c r="K25" s="7"/>
      <c r="L25" s="7">
        <v>331801</v>
      </c>
    </row>
    <row r="26" spans="1:12" x14ac:dyDescent="0.35">
      <c r="A26" t="s">
        <v>88</v>
      </c>
      <c r="B26" s="7">
        <v>2628</v>
      </c>
      <c r="C26" s="7"/>
      <c r="D26" s="7">
        <v>1533</v>
      </c>
      <c r="E26" s="7">
        <v>522</v>
      </c>
      <c r="F26" s="7"/>
      <c r="G26" s="7"/>
      <c r="H26" s="7">
        <v>2</v>
      </c>
      <c r="I26" s="7">
        <v>10583</v>
      </c>
      <c r="J26" s="7">
        <v>10777</v>
      </c>
      <c r="K26" s="7"/>
      <c r="L26" s="7">
        <v>26047</v>
      </c>
    </row>
    <row r="27" spans="1:12" x14ac:dyDescent="0.35">
      <c r="A27" t="s">
        <v>90</v>
      </c>
      <c r="B27" s="7">
        <v>525</v>
      </c>
      <c r="C27" s="7"/>
      <c r="D27" s="7">
        <v>4565</v>
      </c>
      <c r="E27" s="7">
        <v>58</v>
      </c>
      <c r="F27" s="7"/>
      <c r="G27" s="7"/>
      <c r="H27" s="7"/>
      <c r="I27" s="7">
        <v>3228</v>
      </c>
      <c r="J27" s="7">
        <v>2058</v>
      </c>
      <c r="K27" s="7"/>
      <c r="L27" s="7">
        <v>10437</v>
      </c>
    </row>
    <row r="28" spans="1:12" x14ac:dyDescent="0.35">
      <c r="A28" t="s">
        <v>92</v>
      </c>
      <c r="B28" s="7"/>
      <c r="C28" s="7"/>
      <c r="D28" s="7">
        <v>123</v>
      </c>
      <c r="E28" s="7"/>
      <c r="F28" s="7"/>
      <c r="G28" s="7"/>
      <c r="H28" s="7"/>
      <c r="I28" s="7"/>
      <c r="J28" s="7"/>
      <c r="K28" s="7"/>
      <c r="L28" s="7">
        <v>123</v>
      </c>
    </row>
    <row r="29" spans="1:12" x14ac:dyDescent="0.35">
      <c r="A29" t="s">
        <v>94</v>
      </c>
      <c r="B29" s="7">
        <v>140</v>
      </c>
      <c r="C29" s="7"/>
      <c r="D29" s="7">
        <v>2719</v>
      </c>
      <c r="E29" s="7">
        <v>705</v>
      </c>
      <c r="F29" s="7"/>
      <c r="G29" s="7"/>
      <c r="H29" s="7">
        <v>129</v>
      </c>
      <c r="I29" s="7">
        <v>465</v>
      </c>
      <c r="J29" s="7">
        <v>1727</v>
      </c>
      <c r="K29" s="7"/>
      <c r="L29" s="7">
        <v>5889</v>
      </c>
    </row>
    <row r="30" spans="1:12" x14ac:dyDescent="0.35">
      <c r="A30" t="s">
        <v>236</v>
      </c>
      <c r="B30" s="7">
        <v>1175</v>
      </c>
      <c r="C30" s="7"/>
      <c r="D30" s="7">
        <v>9140</v>
      </c>
      <c r="E30" s="7">
        <v>13347</v>
      </c>
      <c r="F30" s="7"/>
      <c r="G30" s="7"/>
      <c r="H30" s="7"/>
      <c r="I30" s="7"/>
      <c r="J30" s="7"/>
      <c r="K30" s="7"/>
      <c r="L30" s="7">
        <v>23661</v>
      </c>
    </row>
    <row r="32" spans="1:12" x14ac:dyDescent="0.35">
      <c r="B32" s="7">
        <f>SUM(B9,B10:B21,B22*-1)</f>
        <v>3</v>
      </c>
      <c r="C32" s="7">
        <f t="shared" ref="C32:L32" si="0">SUM(C9,C10:C21,C22*-1)</f>
        <v>1</v>
      </c>
      <c r="D32" s="7">
        <f t="shared" si="0"/>
        <v>0</v>
      </c>
      <c r="E32" s="7">
        <f t="shared" si="0"/>
        <v>-4</v>
      </c>
      <c r="F32" s="7">
        <f t="shared" si="0"/>
        <v>0</v>
      </c>
      <c r="G32" s="7">
        <f t="shared" si="0"/>
        <v>0</v>
      </c>
      <c r="H32" s="7">
        <f t="shared" si="0"/>
        <v>-1</v>
      </c>
      <c r="I32" s="7">
        <f t="shared" si="0"/>
        <v>-1</v>
      </c>
      <c r="J32" s="7">
        <f t="shared" si="0"/>
        <v>-8</v>
      </c>
      <c r="K32" s="7">
        <f t="shared" si="0"/>
        <v>0</v>
      </c>
      <c r="L32" s="7">
        <f t="shared" si="0"/>
        <v>5</v>
      </c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Ark15"/>
  <dimension ref="A1:AH30"/>
  <sheetViews>
    <sheetView topLeftCell="Q4" zoomScale="130" zoomScaleNormal="130" workbookViewId="0">
      <selection activeCell="F11" sqref="F11"/>
    </sheetView>
  </sheetViews>
  <sheetFormatPr defaultRowHeight="14.5" x14ac:dyDescent="0.35"/>
  <cols>
    <col min="3" max="3" width="16.453125" customWidth="1"/>
    <col min="4" max="4" width="12.81640625" customWidth="1"/>
    <col min="5" max="5" width="12.54296875" customWidth="1"/>
    <col min="6" max="6" width="16.54296875" customWidth="1"/>
    <col min="10" max="10" width="12.54296875" customWidth="1"/>
    <col min="11" max="11" width="11.54296875" customWidth="1"/>
    <col min="14" max="14" width="10.81640625" customWidth="1"/>
    <col min="15" max="15" width="51.54296875" customWidth="1"/>
    <col min="16" max="18" width="15.81640625" customWidth="1"/>
    <col min="19" max="19" width="12.81640625" customWidth="1"/>
    <col min="24" max="24" width="14.1796875" bestFit="1" customWidth="1"/>
    <col min="33" max="34" width="11.26953125" customWidth="1"/>
  </cols>
  <sheetData>
    <row r="1" spans="1:34" ht="140" x14ac:dyDescent="0.35">
      <c r="B1" s="44" t="s">
        <v>0</v>
      </c>
      <c r="C1" s="3" t="s">
        <v>1</v>
      </c>
      <c r="D1" s="8" t="s">
        <v>2</v>
      </c>
      <c r="E1" s="2" t="s">
        <v>3</v>
      </c>
      <c r="F1" s="3" t="s">
        <v>4</v>
      </c>
      <c r="G1" s="1" t="s">
        <v>5</v>
      </c>
      <c r="H1" s="1" t="s">
        <v>6</v>
      </c>
      <c r="I1" s="1" t="s">
        <v>7</v>
      </c>
      <c r="J1" s="3" t="s">
        <v>8</v>
      </c>
      <c r="K1" s="2" t="s">
        <v>9</v>
      </c>
      <c r="L1" s="2" t="s">
        <v>10</v>
      </c>
      <c r="M1" s="17" t="s">
        <v>11</v>
      </c>
      <c r="N1" s="5" t="s">
        <v>12</v>
      </c>
      <c r="O1" s="4" t="s">
        <v>256</v>
      </c>
      <c r="P1" s="60"/>
      <c r="Q1" s="60"/>
      <c r="R1" s="12" t="s">
        <v>14</v>
      </c>
      <c r="S1" s="11" t="s">
        <v>15</v>
      </c>
      <c r="T1" s="12" t="s">
        <v>16</v>
      </c>
      <c r="U1" s="44" t="s">
        <v>17</v>
      </c>
      <c r="V1" s="3" t="s">
        <v>1</v>
      </c>
      <c r="W1" s="8" t="s">
        <v>2</v>
      </c>
      <c r="X1" s="9" t="s">
        <v>3</v>
      </c>
      <c r="Y1" s="3" t="s">
        <v>4</v>
      </c>
      <c r="Z1" s="1" t="s">
        <v>5</v>
      </c>
      <c r="AA1" s="1" t="s">
        <v>6</v>
      </c>
      <c r="AB1" s="1" t="s">
        <v>7</v>
      </c>
      <c r="AC1" s="3" t="s">
        <v>8</v>
      </c>
      <c r="AD1" s="2" t="s">
        <v>9</v>
      </c>
      <c r="AE1" s="2" t="s">
        <v>10</v>
      </c>
      <c r="AF1" s="17" t="s">
        <v>11</v>
      </c>
      <c r="AG1" s="13" t="s">
        <v>18</v>
      </c>
      <c r="AH1" s="13" t="s">
        <v>19</v>
      </c>
    </row>
    <row r="2" spans="1:34" ht="24.75" customHeight="1" x14ac:dyDescent="0.35">
      <c r="A2" s="45" t="s">
        <v>20</v>
      </c>
      <c r="B2" s="46" t="s">
        <v>21</v>
      </c>
      <c r="C2" s="46" t="s">
        <v>22</v>
      </c>
      <c r="D2" s="46" t="s">
        <v>23</v>
      </c>
      <c r="E2" s="47" t="s">
        <v>24</v>
      </c>
      <c r="F2" s="46" t="s">
        <v>25</v>
      </c>
      <c r="G2" s="46" t="s">
        <v>26</v>
      </c>
      <c r="H2" s="46" t="s">
        <v>27</v>
      </c>
      <c r="I2" s="46" t="s">
        <v>28</v>
      </c>
      <c r="J2" s="48" t="s">
        <v>29</v>
      </c>
      <c r="K2" s="47" t="s">
        <v>30</v>
      </c>
      <c r="L2" s="49" t="s">
        <v>31</v>
      </c>
      <c r="M2" s="49" t="s">
        <v>32</v>
      </c>
      <c r="N2" s="50" t="s">
        <v>33</v>
      </c>
      <c r="O2" s="51"/>
      <c r="P2" s="52" t="s">
        <v>20</v>
      </c>
      <c r="Q2" s="53" t="s">
        <v>34</v>
      </c>
      <c r="R2" s="50" t="s">
        <v>35</v>
      </c>
      <c r="S2" s="54" t="s">
        <v>36</v>
      </c>
      <c r="T2" s="50" t="s">
        <v>37</v>
      </c>
      <c r="U2" s="46" t="s">
        <v>38</v>
      </c>
      <c r="V2" s="46" t="s">
        <v>39</v>
      </c>
      <c r="W2" s="46" t="s">
        <v>40</v>
      </c>
      <c r="X2" s="47" t="s">
        <v>41</v>
      </c>
      <c r="Y2" s="46" t="s">
        <v>42</v>
      </c>
      <c r="Z2" s="46" t="s">
        <v>43</v>
      </c>
      <c r="AA2" s="46" t="s">
        <v>44</v>
      </c>
      <c r="AB2" s="46" t="s">
        <v>45</v>
      </c>
      <c r="AC2" s="46" t="s">
        <v>46</v>
      </c>
      <c r="AD2" s="47" t="s">
        <v>47</v>
      </c>
      <c r="AE2" s="47" t="s">
        <v>48</v>
      </c>
      <c r="AF2" s="49" t="s">
        <v>49</v>
      </c>
      <c r="AG2" s="46" t="s">
        <v>50</v>
      </c>
      <c r="AH2" s="46" t="s">
        <v>51</v>
      </c>
    </row>
    <row r="3" spans="1:34" ht="24.75" customHeight="1" x14ac:dyDescent="0.35">
      <c r="A3" s="45" t="s">
        <v>34</v>
      </c>
      <c r="B3" s="55"/>
      <c r="C3" s="56" t="s">
        <v>52</v>
      </c>
      <c r="D3" s="56" t="s">
        <v>52</v>
      </c>
      <c r="E3" s="56" t="s">
        <v>21</v>
      </c>
      <c r="F3" s="56" t="s">
        <v>21</v>
      </c>
      <c r="G3" s="56" t="s">
        <v>21</v>
      </c>
      <c r="H3" s="56" t="s">
        <v>52</v>
      </c>
      <c r="I3" s="56" t="s">
        <v>52</v>
      </c>
      <c r="J3" s="56" t="s">
        <v>21</v>
      </c>
      <c r="K3" s="56" t="s">
        <v>21</v>
      </c>
      <c r="L3" s="57" t="s">
        <v>21</v>
      </c>
      <c r="M3" s="57" t="s">
        <v>21</v>
      </c>
      <c r="N3" s="50"/>
      <c r="O3" s="51" t="s">
        <v>53</v>
      </c>
      <c r="P3" s="52"/>
      <c r="Q3" s="53"/>
      <c r="R3" s="74"/>
      <c r="S3" s="58"/>
      <c r="T3" s="59"/>
      <c r="U3" s="55"/>
      <c r="V3" s="56" t="s">
        <v>38</v>
      </c>
      <c r="W3" s="56" t="s">
        <v>38</v>
      </c>
      <c r="X3" s="56" t="s">
        <v>38</v>
      </c>
      <c r="Y3" s="56" t="s">
        <v>38</v>
      </c>
      <c r="Z3" s="56" t="s">
        <v>38</v>
      </c>
      <c r="AA3" s="56" t="s">
        <v>38</v>
      </c>
      <c r="AB3" s="56" t="s">
        <v>54</v>
      </c>
      <c r="AC3" s="56" t="s">
        <v>38</v>
      </c>
      <c r="AD3" s="56" t="s">
        <v>38</v>
      </c>
      <c r="AE3" s="56" t="s">
        <v>38</v>
      </c>
      <c r="AF3" s="57" t="s">
        <v>38</v>
      </c>
      <c r="AG3" s="56"/>
      <c r="AH3" s="56"/>
    </row>
    <row r="4" spans="1:34" ht="24.75" customHeight="1" x14ac:dyDescent="0.35">
      <c r="A4" s="72" t="s">
        <v>55</v>
      </c>
      <c r="B4" s="72"/>
      <c r="C4" s="56"/>
      <c r="D4" s="56"/>
      <c r="E4" s="56"/>
      <c r="F4" s="56"/>
      <c r="G4" s="56"/>
      <c r="H4" s="56"/>
      <c r="I4" s="56"/>
      <c r="J4" s="56"/>
      <c r="K4" s="56"/>
      <c r="L4" s="57"/>
      <c r="M4" s="57"/>
      <c r="N4" s="50"/>
      <c r="O4" s="51"/>
      <c r="P4" s="73"/>
      <c r="Q4" s="53"/>
      <c r="R4" s="74"/>
      <c r="S4" s="58"/>
      <c r="T4" s="59"/>
      <c r="U4" s="55">
        <f>B4</f>
        <v>0</v>
      </c>
      <c r="V4" s="56"/>
      <c r="W4" s="56"/>
      <c r="X4" s="56"/>
      <c r="Y4" s="56"/>
      <c r="Z4" s="56"/>
      <c r="AA4" s="56"/>
      <c r="AB4" s="56"/>
      <c r="AC4" s="56"/>
      <c r="AD4" s="56"/>
      <c r="AE4" s="56"/>
      <c r="AF4" s="57"/>
      <c r="AG4" s="56">
        <f>U4</f>
        <v>0</v>
      </c>
      <c r="AH4" s="56">
        <f>U4</f>
        <v>0</v>
      </c>
    </row>
    <row r="5" spans="1:34" x14ac:dyDescent="0.35">
      <c r="C5" s="14"/>
      <c r="D5" s="14"/>
      <c r="E5" s="14"/>
      <c r="F5" s="14"/>
      <c r="G5" s="14"/>
      <c r="H5" s="14"/>
      <c r="I5" s="14"/>
      <c r="J5" s="14"/>
      <c r="K5" s="14"/>
      <c r="L5" s="14"/>
      <c r="M5" s="14"/>
      <c r="N5" s="23">
        <f>SUM(C5:M5)</f>
        <v>0</v>
      </c>
      <c r="O5" s="10" t="s">
        <v>56</v>
      </c>
      <c r="P5" s="62" t="s">
        <v>57</v>
      </c>
      <c r="Q5" s="63"/>
      <c r="R5" s="63"/>
      <c r="S5" s="24">
        <f>SUM(V5:AF5)</f>
        <v>113679.22909092731</v>
      </c>
      <c r="T5" s="37"/>
      <c r="U5" s="61"/>
      <c r="V5" s="14">
        <f>-(C6+C5)</f>
        <v>75090.545690429935</v>
      </c>
      <c r="W5" s="14">
        <f>-(D6+D5)</f>
        <v>20443.416579371864</v>
      </c>
      <c r="X5" s="14"/>
      <c r="Y5" s="14">
        <f>-(F6+F5)</f>
        <v>9760.3097931818702</v>
      </c>
      <c r="Z5" s="14">
        <f>-(G6+G5)</f>
        <v>3522.7400069954788</v>
      </c>
      <c r="AA5" s="14"/>
      <c r="AB5" s="14"/>
      <c r="AC5" s="14">
        <f>-(J6+J5)</f>
        <v>4862.2170209481901</v>
      </c>
      <c r="AD5" s="14"/>
      <c r="AE5" s="14"/>
      <c r="AF5" s="14"/>
      <c r="AG5" s="14"/>
      <c r="AH5" s="14"/>
    </row>
    <row r="6" spans="1:34" x14ac:dyDescent="0.35">
      <c r="C6" s="14">
        <f>-V6</f>
        <v>-75090.545690429935</v>
      </c>
      <c r="D6" s="14">
        <f>-W6</f>
        <v>-20443.416579371864</v>
      </c>
      <c r="E6" s="14"/>
      <c r="F6" s="14">
        <f>-Y6</f>
        <v>-9760.3097931818702</v>
      </c>
      <c r="G6" s="14">
        <f>-Z6</f>
        <v>-3522.7400069954788</v>
      </c>
      <c r="H6" s="14"/>
      <c r="I6" s="14"/>
      <c r="J6" s="14">
        <f>-AC6</f>
        <v>-4862.2170209481901</v>
      </c>
      <c r="K6" s="14"/>
      <c r="L6" s="18"/>
      <c r="M6" s="18"/>
      <c r="N6" s="23">
        <f t="shared" ref="N6:N15" si="0">SUM(C6:M6)</f>
        <v>-113679.22909092731</v>
      </c>
      <c r="O6" s="22" t="s">
        <v>58</v>
      </c>
      <c r="P6" s="65" t="s">
        <v>59</v>
      </c>
      <c r="Q6" s="66"/>
      <c r="R6" s="66"/>
      <c r="S6" s="24">
        <f t="shared" ref="S6:S25" si="1">SUM(V6:AF6)</f>
        <v>113679.22909092731</v>
      </c>
      <c r="T6" s="37"/>
      <c r="U6" s="61"/>
      <c r="V6" s="14">
        <f>-(C16+C8)</f>
        <v>75090.545690429935</v>
      </c>
      <c r="W6" s="14">
        <f>-(D16+D8)</f>
        <v>20443.416579371864</v>
      </c>
      <c r="X6" s="14"/>
      <c r="Y6" s="14">
        <f>-(F16+F8)</f>
        <v>9760.3097931818702</v>
      </c>
      <c r="Z6" s="14">
        <f>-(G16+G8)</f>
        <v>3522.7400069954788</v>
      </c>
      <c r="AA6" s="14"/>
      <c r="AB6" s="14"/>
      <c r="AC6" s="14">
        <f>-(J16+J8)</f>
        <v>4862.2170209481901</v>
      </c>
      <c r="AD6" s="14"/>
      <c r="AE6" s="14"/>
      <c r="AF6" s="14"/>
      <c r="AG6" s="21">
        <f>-(N6+S6)</f>
        <v>0</v>
      </c>
      <c r="AH6" s="21"/>
    </row>
    <row r="7" spans="1:34" x14ac:dyDescent="0.35"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23">
        <f t="shared" si="0"/>
        <v>0</v>
      </c>
      <c r="O7" s="22" t="s">
        <v>60</v>
      </c>
      <c r="P7" s="67" t="s">
        <v>61</v>
      </c>
      <c r="Q7" s="66"/>
      <c r="R7" s="66"/>
      <c r="S7" s="24">
        <f t="shared" si="1"/>
        <v>6154.2671789644628</v>
      </c>
      <c r="T7" s="37"/>
      <c r="U7" s="61"/>
      <c r="V7" s="14"/>
      <c r="W7" s="14"/>
      <c r="X7" s="14"/>
      <c r="Y7" s="14"/>
      <c r="Z7" s="16"/>
      <c r="AA7" s="19">
        <f>-H8</f>
        <v>4231.5819238254689</v>
      </c>
      <c r="AB7" s="19">
        <f>-I8</f>
        <v>1922.6852551389936</v>
      </c>
      <c r="AC7" s="14"/>
      <c r="AD7" s="14"/>
      <c r="AE7" s="14"/>
      <c r="AF7" s="14"/>
      <c r="AG7" s="14"/>
      <c r="AH7" s="14"/>
    </row>
    <row r="8" spans="1:34" x14ac:dyDescent="0.35">
      <c r="C8" s="14">
        <f>SUM(C9:C13)</f>
        <v>-50361.378567258696</v>
      </c>
      <c r="D8" s="14">
        <f t="shared" ref="D8:M8" si="2">SUM(D9:D13)</f>
        <v>-20420.97321215842</v>
      </c>
      <c r="E8" s="14">
        <f t="shared" si="2"/>
        <v>-2011.6124969378352</v>
      </c>
      <c r="F8" s="14">
        <f t="shared" si="2"/>
        <v>-3741.6182518418618</v>
      </c>
      <c r="G8" s="14">
        <f t="shared" si="2"/>
        <v>-3522.7400069954788</v>
      </c>
      <c r="H8" s="14">
        <f t="shared" si="2"/>
        <v>-4231.5819238254689</v>
      </c>
      <c r="I8" s="14">
        <f t="shared" si="2"/>
        <v>-1922.6852551389936</v>
      </c>
      <c r="J8" s="14">
        <f t="shared" si="2"/>
        <v>-1529.0603784877703</v>
      </c>
      <c r="K8" s="14">
        <f t="shared" si="2"/>
        <v>-2734.3253439999999</v>
      </c>
      <c r="L8" s="14">
        <f t="shared" si="2"/>
        <v>-560.66607999999997</v>
      </c>
      <c r="M8" s="14">
        <f t="shared" si="2"/>
        <v>0</v>
      </c>
      <c r="N8" s="23">
        <f t="shared" si="0"/>
        <v>-91036.641516644508</v>
      </c>
      <c r="O8" s="22" t="s">
        <v>62</v>
      </c>
      <c r="P8" s="67" t="s">
        <v>63</v>
      </c>
      <c r="Q8" s="66"/>
      <c r="R8" s="66"/>
      <c r="S8" s="24">
        <f t="shared" si="1"/>
        <v>50085.416132815517</v>
      </c>
      <c r="T8" s="37"/>
      <c r="U8" s="61"/>
      <c r="V8" s="14">
        <f>SUM(V9:V13)</f>
        <v>0</v>
      </c>
      <c r="W8" s="14"/>
      <c r="X8" s="14">
        <f>(E14+E8)*-1</f>
        <v>19401.96952656296</v>
      </c>
      <c r="Y8" s="14"/>
      <c r="Z8" s="14"/>
      <c r="AA8" s="14"/>
      <c r="AB8" s="14"/>
      <c r="AC8" s="14"/>
      <c r="AD8" s="14">
        <f>(K14+K8)*-1</f>
        <v>25745.265692507612</v>
      </c>
      <c r="AE8" s="14">
        <f>(L14+L8)*-1</f>
        <v>4938.1809137449463</v>
      </c>
      <c r="AF8" s="14"/>
      <c r="AG8" s="21">
        <f>-(N8+S8)</f>
        <v>40951.225383828991</v>
      </c>
      <c r="AH8" s="21">
        <f>SUM(AH9:AH13)</f>
        <v>5150.4857540118392</v>
      </c>
    </row>
    <row r="9" spans="1:34" x14ac:dyDescent="0.35">
      <c r="C9" s="26">
        <f>-($AD$9+$H$9+$I$9)/$T$9*' KF China'!$I109</f>
        <v>-26193.135254173172</v>
      </c>
      <c r="D9" s="26">
        <f>-($AD$9+$H$9+$I$9)/$T$9*' KF China'!$I110</f>
        <v>-6.3596783211388104</v>
      </c>
      <c r="E9" s="26">
        <f>-($AD$9+$H$9+$I$9)/$T$9*' KF China'!$I111</f>
        <v>-105.20138848645102</v>
      </c>
      <c r="F9" s="26">
        <f>-($AD$9+$H$9+$I$9)/$T$9*' KF China'!$I112</f>
        <v>-1030.4320087553554</v>
      </c>
      <c r="G9" s="26">
        <f>-($AD$9+$H$9+$I$9)/$T$9*' KF China'!$I113</f>
        <v>-3153.7849945440944</v>
      </c>
      <c r="H9" s="26">
        <f>AD9*' KF China'!I94*-1</f>
        <v>-4231.5819238254689</v>
      </c>
      <c r="I9" s="26">
        <f>AD9*' KF China'!I95*-1</f>
        <v>-1922.6852551389936</v>
      </c>
      <c r="J9" s="26">
        <f>-($AD$9+$H$9+$I$9)/$T$9*' KF China'!$I114</f>
        <v>-1467.6906659706863</v>
      </c>
      <c r="K9" s="25"/>
      <c r="L9" s="25"/>
      <c r="M9" s="25"/>
      <c r="N9" s="23">
        <f t="shared" si="0"/>
        <v>-38110.871169215367</v>
      </c>
      <c r="O9" s="6" t="s">
        <v>64</v>
      </c>
      <c r="P9" s="68" t="s">
        <v>65</v>
      </c>
      <c r="Q9" s="69" t="s">
        <v>63</v>
      </c>
      <c r="R9" s="69"/>
      <c r="S9" s="24">
        <f t="shared" si="1"/>
        <v>18397.673759473364</v>
      </c>
      <c r="T9" s="37">
        <f>' KF China'!I104</f>
        <v>0.38312602253493633</v>
      </c>
      <c r="U9" s="61"/>
      <c r="V9" s="28"/>
      <c r="W9" s="28"/>
      <c r="X9" s="28"/>
      <c r="Y9" s="28"/>
      <c r="Z9" s="28"/>
      <c r="AA9" s="28"/>
      <c r="AB9" s="28"/>
      <c r="AC9" s="28"/>
      <c r="AD9" s="28">
        <f>AD8-AD10</f>
        <v>18397.673759473364</v>
      </c>
      <c r="AE9" s="28"/>
      <c r="AF9" s="28"/>
      <c r="AG9" s="29">
        <f>-(S9+N9)</f>
        <v>19713.197409742002</v>
      </c>
      <c r="AH9" s="29">
        <f>-(C9*Emissionsfaktorer!$B$2*(1-' KF China'!I134)+D9*Emissionsfaktorer!$B$3+E9*Emissionsfaktorer!$B$4*(1-' KF China'!I135)+F9*Emissionsfaktorer!$B$5*(1-' KF China'!I136)+G9*Emissionsfaktorer!$B$6+H9*Emissionsfaktorer!$B$7+I9*Emissionsfaktorer!$B$8-J9*Emissionsfaktorer!B13*' KF China'!I137+K9*Emissionsfaktorer!$B$10+L9*Emissionsfaktorer!$B$11+M9*Emissionsfaktorer!$B$12)</f>
        <v>2555.0777791704772</v>
      </c>
    </row>
    <row r="10" spans="1:34" x14ac:dyDescent="0.35">
      <c r="C10" s="26">
        <f>-($AD$10+$AE$10+$H$10+$I$10)/$T$10*' KF China'!$I116</f>
        <v>-22029.945068634141</v>
      </c>
      <c r="D10" s="26">
        <f>-($AD$10+$AE$10+$H$10+$I$10)/$T$10*' KF China'!$I117</f>
        <v>0</v>
      </c>
      <c r="E10" s="26">
        <f>-($AD$10+$AE$10+$H$10+$I$10)/$T$10*' KF China'!$I118</f>
        <v>0</v>
      </c>
      <c r="F10" s="26">
        <f>-($AD$10+$AE$10+$H$10+$I$10)/$T$10*' KF China'!$I119</f>
        <v>-1081.339694635122</v>
      </c>
      <c r="G10" s="26">
        <f>-($AD$10+$AE$10+$H$10+$I$10)/$T$10*' KF China'!$I120</f>
        <v>0</v>
      </c>
      <c r="H10" s="26"/>
      <c r="I10" s="26">
        <f>(AD10+AE10)*' KF China'!I98*-1</f>
        <v>0</v>
      </c>
      <c r="J10" s="26">
        <f>-($AD$10+$AE$10+$H$10+$I$10)/$T$10*' KF China'!$I121</f>
        <v>-4.0739852222726034</v>
      </c>
      <c r="K10" s="25"/>
      <c r="L10" s="25"/>
      <c r="M10" s="25"/>
      <c r="N10" s="23">
        <f t="shared" si="0"/>
        <v>-23115.358748491533</v>
      </c>
      <c r="O10" s="6" t="s">
        <v>66</v>
      </c>
      <c r="P10" s="68" t="s">
        <v>67</v>
      </c>
      <c r="Q10" s="69" t="s">
        <v>63</v>
      </c>
      <c r="R10" s="69"/>
      <c r="S10" s="24">
        <f t="shared" si="1"/>
        <v>11748.657908530629</v>
      </c>
      <c r="T10" s="37">
        <f>' KF China'!I105</f>
        <v>0.50826197578687049</v>
      </c>
      <c r="U10" s="61"/>
      <c r="V10" s="28"/>
      <c r="W10" s="28"/>
      <c r="X10" s="28"/>
      <c r="Y10" s="28"/>
      <c r="Z10" s="28"/>
      <c r="AA10" s="28"/>
      <c r="AB10" s="28"/>
      <c r="AC10" s="28"/>
      <c r="AD10" s="28">
        <f>AE10*' KF China'!I90</f>
        <v>7347.5919330342458</v>
      </c>
      <c r="AE10" s="28">
        <f>AE8*' KF China'!I85</f>
        <v>4401.0659754963845</v>
      </c>
      <c r="AF10" s="28"/>
      <c r="AG10" s="29">
        <f t="shared" ref="AG10:AG11" si="3">-(S10+N10)</f>
        <v>11366.700839960904</v>
      </c>
      <c r="AH10" s="29">
        <f>-(C10*Emissionsfaktorer!$B$2*(1-' KF China'!I135)+D10*Emissionsfaktorer!$B$3+E10*Emissionsfaktorer!$B$4*(1-' KF China'!I136)+F10*Emissionsfaktorer!$B$5*(1-' KF China'!I137)+G10*Emissionsfaktorer!$B$6+H10*Emissionsfaktorer!$B$7+I10*Emissionsfaktorer!$B$8-J10*Emissionsfaktorer!B14*' KF China'!I142+K10*Emissionsfaktorer!$B$10+L10*Emissionsfaktorer!$B$11+M10*Emissionsfaktorer!$B$12)</f>
        <v>2154.4811441144457</v>
      </c>
    </row>
    <row r="11" spans="1:34" x14ac:dyDescent="0.35">
      <c r="C11" s="26">
        <f>-($AE$11+$H$11+$I$11)/IF($T$11=0,1,$T$11)*' KF China'!$I123</f>
        <v>-368.95501245138433</v>
      </c>
      <c r="D11" s="26">
        <f>-($AE$11+$H$11+$I$11)/IF($T$11=0,1,$T$11)*' KF China'!$I123</f>
        <v>-368.95501245138433</v>
      </c>
      <c r="E11" s="26">
        <f>-($AE$11+$H$11+$I$11)/IF($T$11=0,1,$T$11)*' KF China'!$I123</f>
        <v>-368.95501245138433</v>
      </c>
      <c r="F11" s="26">
        <f>-($AE$11+$H$11+$I$11)/IF($T$11=0,1,$T$11)*' KF China'!$I123</f>
        <v>-368.95501245138433</v>
      </c>
      <c r="G11" s="26">
        <f>-($AE$11+$H$11+$I$11)/IF($T$11=0,1,$T$11)*' KF China'!$I123</f>
        <v>-368.95501245138433</v>
      </c>
      <c r="H11" s="26"/>
      <c r="I11" s="26">
        <f>AE11*' KF China'!I101*-1</f>
        <v>0</v>
      </c>
      <c r="J11" s="26">
        <f>-($AE$11+$H$11+$I$11)/IF($T$11=0,1,$T$11)*' KF China'!$I128</f>
        <v>-57.295727294811471</v>
      </c>
      <c r="K11" s="28">
        <f>AE11*' KF China'!I88*-1</f>
        <v>0</v>
      </c>
      <c r="L11" s="25"/>
      <c r="M11" s="25"/>
      <c r="N11" s="23">
        <f t="shared" si="0"/>
        <v>-1902.0707895517332</v>
      </c>
      <c r="O11" s="6" t="s">
        <v>68</v>
      </c>
      <c r="P11" s="64" t="s">
        <v>69</v>
      </c>
      <c r="Q11" s="69" t="s">
        <v>63</v>
      </c>
      <c r="R11" s="69"/>
      <c r="S11" s="24">
        <f t="shared" si="1"/>
        <v>537.11493824856166</v>
      </c>
      <c r="T11" s="37">
        <f>' KF China'!I106</f>
        <v>0.86889153754469606</v>
      </c>
      <c r="U11" s="61"/>
      <c r="V11" s="28"/>
      <c r="W11" s="28"/>
      <c r="X11" s="28"/>
      <c r="Y11" s="28"/>
      <c r="Z11" s="28"/>
      <c r="AA11" s="28"/>
      <c r="AB11" s="28"/>
      <c r="AC11" s="28"/>
      <c r="AD11" s="28"/>
      <c r="AE11" s="28">
        <f>AE8*' KF China'!I86</f>
        <v>537.11493824856166</v>
      </c>
      <c r="AF11" s="28"/>
      <c r="AG11" s="29">
        <f t="shared" si="3"/>
        <v>1364.9558513031716</v>
      </c>
      <c r="AH11" s="29">
        <f>-(C11*Emissionsfaktorer!$B$2+D11*Emissionsfaktorer!$B$3+E11*Emissionsfaktorer!$B$4+F11*Emissionsfaktorer!$B$5+G11*Emissionsfaktorer!$B$6+H11*Emissionsfaktorer!$B$7+I11*Emissionsfaktorer!$B$8+J11*Emissionsfaktorer!$B$9+K11*Emissionsfaktorer!$B$10+L11*Emissionsfaktorer!$B$11+M11*Emissionsfaktorer!$B$12)</f>
        <v>84.121742838915623</v>
      </c>
    </row>
    <row r="12" spans="1:34" x14ac:dyDescent="0.35">
      <c r="C12" s="26"/>
      <c r="D12" s="26">
        <f>-X12/IF(T12=0,1,T12)*' KF China'!I130</f>
        <v>-19916.609017385897</v>
      </c>
      <c r="E12" s="25"/>
      <c r="F12" s="26"/>
      <c r="G12" s="26"/>
      <c r="H12" s="26"/>
      <c r="I12" s="26"/>
      <c r="J12" s="27">
        <f>-X12/IF(T12=0,1,T12)*' KF China'!I131</f>
        <v>0</v>
      </c>
      <c r="K12" s="25"/>
      <c r="L12" s="25"/>
      <c r="M12" s="25"/>
      <c r="N12" s="23">
        <f t="shared" si="0"/>
        <v>-19916.609017385897</v>
      </c>
      <c r="O12" s="6" t="s">
        <v>70</v>
      </c>
      <c r="P12" s="64" t="s">
        <v>71</v>
      </c>
      <c r="Q12" s="69" t="s">
        <v>63</v>
      </c>
      <c r="R12" s="69"/>
      <c r="S12" s="24">
        <f t="shared" si="1"/>
        <v>19401.96952656296</v>
      </c>
      <c r="T12" s="37">
        <f>' KF China'!I107</f>
        <v>0.97416028549972078</v>
      </c>
      <c r="U12" s="61"/>
      <c r="V12" s="28"/>
      <c r="W12" s="28"/>
      <c r="X12" s="28">
        <f>-(E9+E10+E11+E13+E14)</f>
        <v>19401.96952656296</v>
      </c>
      <c r="Y12" s="28"/>
      <c r="Z12" s="28"/>
      <c r="AA12" s="28"/>
      <c r="AB12" s="28"/>
      <c r="AC12" s="28"/>
      <c r="AD12" s="28"/>
      <c r="AE12" s="28"/>
      <c r="AF12" s="28"/>
      <c r="AG12" s="29">
        <f>-(S12+N12)</f>
        <v>514.63949082293766</v>
      </c>
      <c r="AH12" s="29">
        <f>J12*Emissionsfaktorer!B4</f>
        <v>0</v>
      </c>
    </row>
    <row r="13" spans="1:34" x14ac:dyDescent="0.35">
      <c r="C13" s="28">
        <f>N13*' KF China'!I79</f>
        <v>-1769.3432319999999</v>
      </c>
      <c r="D13" s="28">
        <f>N13*' KF China'!I81</f>
        <v>-129.04950399999998</v>
      </c>
      <c r="E13" s="28">
        <f>N13*' KF China'!I82</f>
        <v>-1537.4560959999999</v>
      </c>
      <c r="F13" s="28">
        <f>N13*' KF China'!I80</f>
        <v>-1260.8915359999999</v>
      </c>
      <c r="G13" s="28"/>
      <c r="H13" s="28"/>
      <c r="I13" s="28"/>
      <c r="J13" s="36">
        <f>N13*' KF China'!I83</f>
        <v>0</v>
      </c>
      <c r="K13" s="28">
        <f>N13*' KF China'!I77</f>
        <v>-2734.3253439999999</v>
      </c>
      <c r="L13" s="28">
        <f>N13*' KF China'!I78</f>
        <v>-560.66607999999997</v>
      </c>
      <c r="M13" s="25"/>
      <c r="N13" s="23">
        <f>N16*' KF China'!I75</f>
        <v>-7991.7317919999996</v>
      </c>
      <c r="O13" s="6" t="s">
        <v>72</v>
      </c>
      <c r="P13" s="64" t="s">
        <v>73</v>
      </c>
      <c r="Q13" s="69" t="s">
        <v>63</v>
      </c>
      <c r="R13" s="69"/>
      <c r="S13" s="24">
        <f t="shared" si="1"/>
        <v>0</v>
      </c>
      <c r="T13" s="37">
        <v>0</v>
      </c>
      <c r="U13" s="61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9">
        <f>-(S13+N13)</f>
        <v>7991.7317919999996</v>
      </c>
      <c r="AH13" s="29">
        <f>-(C13*Emissionsfaktorer!$B$2+D13*Emissionsfaktorer!$B$3+E13*Emissionsfaktorer!$B$4+F13*Emissionsfaktorer!$B$5+G13*Emissionsfaktorer!$B$6+H13*Emissionsfaktorer!$B$7+I13*Emissionsfaktorer!$B$8+J13*Emissionsfaktorer!$B$9+K13*Emissionsfaktorer!$B$10+L13*Emissionsfaktorer!$B$11+M13*Emissionsfaktorer!$B$12)</f>
        <v>356.805087888</v>
      </c>
    </row>
    <row r="14" spans="1:34" x14ac:dyDescent="0.35">
      <c r="C14" s="15"/>
      <c r="D14" s="15"/>
      <c r="E14" s="16">
        <f>-X14*1</f>
        <v>-17390.357029625124</v>
      </c>
      <c r="F14" s="15"/>
      <c r="G14" s="15"/>
      <c r="H14" s="15"/>
      <c r="I14" s="15"/>
      <c r="J14" s="20"/>
      <c r="K14" s="16">
        <f>-AD14*(1+' KF China'!I72)</f>
        <v>-23010.940348507611</v>
      </c>
      <c r="L14" s="16">
        <f>-AE14*(1+' KF China'!I73)</f>
        <v>-4377.5148337449464</v>
      </c>
      <c r="M14" s="16"/>
      <c r="N14" s="23">
        <f t="shared" si="0"/>
        <v>-44778.812211877681</v>
      </c>
      <c r="O14" s="22" t="s">
        <v>74</v>
      </c>
      <c r="P14" s="66" t="s">
        <v>75</v>
      </c>
      <c r="Q14" s="70"/>
      <c r="R14" s="70"/>
      <c r="S14" s="24">
        <f t="shared" si="1"/>
        <v>43517.41905007913</v>
      </c>
      <c r="T14" s="37"/>
      <c r="U14" s="61"/>
      <c r="V14" s="16"/>
      <c r="W14" s="16"/>
      <c r="X14" s="16">
        <f>-E16</f>
        <v>17390.357029625124</v>
      </c>
      <c r="Y14" s="16"/>
      <c r="Z14" s="16"/>
      <c r="AA14" s="16"/>
      <c r="AB14" s="16"/>
      <c r="AC14" s="16"/>
      <c r="AD14" s="16">
        <f>-K16</f>
        <v>21800.296612582359</v>
      </c>
      <c r="AE14" s="16">
        <f>-L16</f>
        <v>4326.7654078716414</v>
      </c>
      <c r="AF14" s="16"/>
      <c r="AG14" s="21">
        <f>-(N14+S14)</f>
        <v>1261.3931617985509</v>
      </c>
      <c r="AH14" s="21"/>
    </row>
    <row r="15" spans="1:34" x14ac:dyDescent="0.35"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23">
        <f t="shared" si="0"/>
        <v>0</v>
      </c>
      <c r="O15" s="22" t="s">
        <v>76</v>
      </c>
      <c r="P15" s="67" t="s">
        <v>77</v>
      </c>
      <c r="Q15" s="66"/>
      <c r="R15" s="66"/>
      <c r="S15" s="24">
        <f t="shared" si="1"/>
        <v>1434.8791532515522</v>
      </c>
      <c r="T15" s="37"/>
      <c r="U15" s="61"/>
      <c r="V15" s="14"/>
      <c r="W15" s="14"/>
      <c r="X15" s="14"/>
      <c r="Y15" s="14"/>
      <c r="Z15" s="14"/>
      <c r="AA15" s="14"/>
      <c r="AB15" s="14">
        <f>I16*-1</f>
        <v>1434.8791532515522</v>
      </c>
      <c r="AC15" s="14"/>
      <c r="AD15" s="14"/>
      <c r="AE15" s="14"/>
      <c r="AF15" s="14"/>
      <c r="AG15" s="14"/>
      <c r="AH15" s="14"/>
    </row>
    <row r="16" spans="1:34" x14ac:dyDescent="0.35">
      <c r="C16" s="14">
        <f t="shared" ref="C16:M16" si="4">SUM(C17:C19)</f>
        <v>-24729.167123171239</v>
      </c>
      <c r="D16" s="14">
        <f t="shared" si="4"/>
        <v>-22.443367213443494</v>
      </c>
      <c r="E16" s="14">
        <f t="shared" si="4"/>
        <v>-17390.357029625124</v>
      </c>
      <c r="F16" s="14">
        <f t="shared" si="4"/>
        <v>-6018.6915413400084</v>
      </c>
      <c r="G16" s="14">
        <f t="shared" si="4"/>
        <v>0</v>
      </c>
      <c r="H16" s="14">
        <f t="shared" si="4"/>
        <v>0</v>
      </c>
      <c r="I16" s="14">
        <f t="shared" si="4"/>
        <v>-1434.8791532515522</v>
      </c>
      <c r="J16" s="14">
        <f t="shared" si="4"/>
        <v>-3333.1566424604202</v>
      </c>
      <c r="K16" s="14">
        <f t="shared" si="4"/>
        <v>-21800.296612582359</v>
      </c>
      <c r="L16" s="14">
        <f t="shared" si="4"/>
        <v>-4326.7654078716414</v>
      </c>
      <c r="M16" s="14">
        <f t="shared" si="4"/>
        <v>0</v>
      </c>
      <c r="N16" s="23">
        <f>' KF China'!I5</f>
        <v>-79055.59216</v>
      </c>
      <c r="O16" s="10" t="s">
        <v>78</v>
      </c>
      <c r="P16" s="71" t="s">
        <v>79</v>
      </c>
      <c r="Q16" s="71"/>
      <c r="R16" s="71"/>
      <c r="S16" s="24">
        <f t="shared" si="1"/>
        <v>60384.175125558322</v>
      </c>
      <c r="T16" s="37"/>
      <c r="U16" s="61"/>
      <c r="V16" s="14"/>
      <c r="W16" s="14"/>
      <c r="X16" s="14"/>
      <c r="Y16" s="14"/>
      <c r="Z16" s="14"/>
      <c r="AA16" s="14"/>
      <c r="AB16" s="14"/>
      <c r="AC16" s="14"/>
      <c r="AD16" s="14"/>
      <c r="AE16" s="14"/>
      <c r="AF16" s="14">
        <f>SUM(AF17:AF19)</f>
        <v>60384.175125558322</v>
      </c>
      <c r="AG16" s="14">
        <f t="shared" ref="AG16:AH16" si="5">SUM(AG17:AG19)</f>
        <v>18671.581751957459</v>
      </c>
      <c r="AH16" s="14">
        <f t="shared" si="5"/>
        <v>4014.0034288091574</v>
      </c>
    </row>
    <row r="17" spans="3:34" x14ac:dyDescent="0.35">
      <c r="C17" s="25">
        <f>AF17*' KF China'!I15/T17*' KF China'!I139/' KF China'!I$139*-1</f>
        <v>-20750.484123071259</v>
      </c>
      <c r="D17" s="25">
        <f>AF17*' KF China'!I16/T17*' KF China'!I139/' KF China'!I$139*-1</f>
        <v>-22.443367213443494</v>
      </c>
      <c r="E17" s="25">
        <f>AF17*' KF China'!I17/T17*' KF China'!I139/' KF China'!I$139*-1</f>
        <v>-1912.7527195472244</v>
      </c>
      <c r="F17" s="25">
        <f>AF17*' KF China'!I18/T17*' KF China'!I139/' KF China'!I$139*-1</f>
        <v>-2740.9380928955434</v>
      </c>
      <c r="G17" s="25"/>
      <c r="H17" s="25"/>
      <c r="I17" s="25">
        <f>AF17*' KF China'!I19/T17*' KF China'!I142/' KF China'!I$142*-1</f>
        <v>-20.182281710596577</v>
      </c>
      <c r="J17" s="25">
        <f>AF17*' KF China'!I20*' KF China'!I139/T17/' KF China'!I$139*-1</f>
        <v>0</v>
      </c>
      <c r="K17" s="25">
        <f>AF17*' KF China'!I21*' KF China'!I141/T17/' KF China'!I$141*-1</f>
        <v>-13423.813398679624</v>
      </c>
      <c r="L17" s="25">
        <f>AF17*' KF China'!I22*' KF China'!I142/T17/' KF China'!I$142*-1</f>
        <v>-2903.8618649617906</v>
      </c>
      <c r="M17" s="25"/>
      <c r="N17" s="23">
        <f>SUM(C17:L17)</f>
        <v>-41774.475848079484</v>
      </c>
      <c r="O17" s="6" t="s">
        <v>80</v>
      </c>
      <c r="P17" s="64" t="s">
        <v>81</v>
      </c>
      <c r="Q17" s="69" t="s">
        <v>79</v>
      </c>
      <c r="R17" s="69"/>
      <c r="S17" s="24">
        <f t="shared" si="1"/>
        <v>36017.961517600008</v>
      </c>
      <c r="T17" s="37">
        <f>(' KF China'!I15+' KF China'!I16+' KF China'!I17+' KF China'!I18+' KF China'!I20)*' KF China'!I139+(' KF China'!I19+' KF China'!I22)*' KF China'!I142+' KF China'!I21*' KF China'!I141</f>
        <v>0.86220020207042003</v>
      </c>
      <c r="U17" s="61"/>
      <c r="V17" s="25"/>
      <c r="W17" s="25"/>
      <c r="X17" s="25"/>
      <c r="Y17" s="25"/>
      <c r="Z17" s="25"/>
      <c r="AA17" s="25"/>
      <c r="AB17" s="25"/>
      <c r="AC17" s="25"/>
      <c r="AD17" s="25"/>
      <c r="AE17" s="25"/>
      <c r="AF17" s="25">
        <f>' KF China'!I5*' KF China'!I7*((' KF China'!G15+' KF China'!G16+' KF China'!G17+' KF China'!G18+' KF China'!G20)*' KF China'!G139+(' KF China'!G19+' KF China'!G22)*' KF China'!G142+' KF China'!G21*' KF China'!G141)*-1</f>
        <v>36017.961517600008</v>
      </c>
      <c r="AG17" s="25">
        <f>(S17+SUM(C17:M17))*-1</f>
        <v>5756.5143304794765</v>
      </c>
      <c r="AH17" s="29">
        <f>-(C17*Emissionsfaktorer!$B$2+D17*Emissionsfaktorer!$B$3+E17*Emissionsfaktorer!$B$4+F17*Emissionsfaktorer!$B$5+G17*Emissionsfaktorer!$B$6+H17*Emissionsfaktorer!$B$7+I17*Emissionsfaktorer!$B$8+J17*Emissionsfaktorer!$B$9+K17*Emissionsfaktorer!$B$10+L17*Emissionsfaktorer!$B$11+M17*Emissionsfaktorer!$B$12)</f>
        <v>2272.8986696724046</v>
      </c>
    </row>
    <row r="18" spans="3:34" x14ac:dyDescent="0.35">
      <c r="C18" s="25">
        <f>AF18*' KF China'!I24/T18*' KF China'!I140/' KF China'!I$140*-1</f>
        <v>-8.3744236841956407E-2</v>
      </c>
      <c r="D18" s="25"/>
      <c r="E18" s="25">
        <f>AF18*' KF China'!I25/T18*' KF China'!I140/' KF China'!I$140*-1</f>
        <v>-12163.473552228377</v>
      </c>
      <c r="F18" s="25">
        <f>AF18*' KF China'!I26/T18*' KF China'!I140/' KF China'!I$140*-1</f>
        <v>-932.45020511676375</v>
      </c>
      <c r="G18" s="25"/>
      <c r="H18" s="25"/>
      <c r="I18" s="25">
        <f>AF18*' KF China'!I27/T18*' KF China'!I142/' KF China'!I$142*-1</f>
        <v>0</v>
      </c>
      <c r="J18" s="25">
        <f>AF18*' KF China'!I28/T18*' KF China'!I140/' KF China'!I$140*-1</f>
        <v>-96.766465670880621</v>
      </c>
      <c r="K18" s="25">
        <f>AF18*' KF China'!I29/T18*' KF China'!I141/' KF China'!I$141*-1</f>
        <v>-509.24870423593688</v>
      </c>
      <c r="L18" s="25">
        <f>AF18*' KF China'!I30/T18*' KF China'!I142/' KF China'!I$142*-1</f>
        <v>0</v>
      </c>
      <c r="M18" s="25"/>
      <c r="N18" s="23">
        <f>SUM(C18:L18)</f>
        <v>-13702.022671488799</v>
      </c>
      <c r="O18" s="6" t="s">
        <v>82</v>
      </c>
      <c r="P18" s="64" t="s">
        <v>83</v>
      </c>
      <c r="Q18" s="69" t="s">
        <v>79</v>
      </c>
      <c r="R18" s="69"/>
      <c r="S18" s="24">
        <f t="shared" si="1"/>
        <v>4441.6184592</v>
      </c>
      <c r="T18" s="37">
        <f>(' KF China'!I24+' KF China'!I25+' KF China'!I26+' KF China'!I28)*' KF China'!I140+(' KF China'!I27+' KF China'!I30)*' KF China'!I142+' KF China'!I29*' KF China'!I141</f>
        <v>0.32415786819869519</v>
      </c>
      <c r="U18" s="61"/>
      <c r="V18" s="25"/>
      <c r="W18" s="25"/>
      <c r="X18" s="25"/>
      <c r="Y18" s="25"/>
      <c r="Z18" s="25"/>
      <c r="AA18" s="25"/>
      <c r="AB18" s="25"/>
      <c r="AC18" s="25"/>
      <c r="AD18" s="25"/>
      <c r="AE18" s="25"/>
      <c r="AF18" s="25">
        <f>' KF China'!I5*' KF China'!I8*-1*((' KF China'!G24+' KF China'!G25+' KF China'!G26+' KF China'!G28)*' KF China'!G140+(' KF China'!G27+' KF China'!G30)*' KF China'!G142+' KF China'!G29*' KF China'!G141)</f>
        <v>4441.6184592</v>
      </c>
      <c r="AG18" s="25">
        <f>(S18+SUM(C18:M18))*-1</f>
        <v>9260.4042122887986</v>
      </c>
      <c r="AH18" s="29">
        <f>-(C18*Emissionsfaktorer!$B$2+D18*Emissionsfaktorer!$B$3+E18*Emissionsfaktorer!$B$4+F18*Emissionsfaktorer!$B$5+G18*Emissionsfaktorer!$B$6+H18*Emissionsfaktorer!$B$7+I18*Emissionsfaktorer!$B$8+J18*Emissionsfaktorer!$B$9+K18*Emissionsfaktorer!$B$10+L18*Emissionsfaktorer!$B$11+M18*Emissionsfaktorer!$B$12)</f>
        <v>977.58160736351215</v>
      </c>
    </row>
    <row r="19" spans="3:34" x14ac:dyDescent="0.35">
      <c r="C19" s="25">
        <f>SUM(C20:C24)</f>
        <v>-3978.5992558631369</v>
      </c>
      <c r="D19" s="25">
        <f t="shared" ref="D19:M19" si="6">SUM(D20:D24)</f>
        <v>0</v>
      </c>
      <c r="E19" s="25">
        <f t="shared" si="6"/>
        <v>-3314.1307578495216</v>
      </c>
      <c r="F19" s="25">
        <f t="shared" si="6"/>
        <v>-2345.3032433277012</v>
      </c>
      <c r="G19" s="25">
        <f t="shared" si="6"/>
        <v>0</v>
      </c>
      <c r="H19" s="25">
        <f t="shared" si="6"/>
        <v>0</v>
      </c>
      <c r="I19" s="25">
        <f t="shared" si="6"/>
        <v>-1414.6968715409557</v>
      </c>
      <c r="J19" s="25">
        <f t="shared" si="6"/>
        <v>-3236.3901767895395</v>
      </c>
      <c r="K19" s="25">
        <f t="shared" si="6"/>
        <v>-7867.2345096667959</v>
      </c>
      <c r="L19" s="25">
        <f t="shared" si="6"/>
        <v>-1422.903542909851</v>
      </c>
      <c r="M19" s="25">
        <f t="shared" si="6"/>
        <v>0</v>
      </c>
      <c r="N19" s="23">
        <f>SUM(N20:N24)</f>
        <v>-23579.258357947499</v>
      </c>
      <c r="O19" s="6" t="s">
        <v>84</v>
      </c>
      <c r="P19" s="64" t="s">
        <v>85</v>
      </c>
      <c r="Q19" s="69" t="s">
        <v>79</v>
      </c>
      <c r="R19" s="69"/>
      <c r="S19" s="24">
        <f t="shared" si="1"/>
        <v>19924.595148758315</v>
      </c>
      <c r="T19" s="37">
        <v>0.8</v>
      </c>
      <c r="U19" s="61"/>
      <c r="V19" s="25">
        <f>SUM(V20:V24)</f>
        <v>0</v>
      </c>
      <c r="W19" s="25">
        <f t="shared" ref="W19:AH19" si="7">SUM(W20:W24)</f>
        <v>0</v>
      </c>
      <c r="X19" s="25">
        <f t="shared" si="7"/>
        <v>0</v>
      </c>
      <c r="Y19" s="25">
        <f t="shared" si="7"/>
        <v>0</v>
      </c>
      <c r="Z19" s="25">
        <f t="shared" si="7"/>
        <v>0</v>
      </c>
      <c r="AA19" s="25">
        <f t="shared" si="7"/>
        <v>0</v>
      </c>
      <c r="AB19" s="25">
        <f t="shared" si="7"/>
        <v>0</v>
      </c>
      <c r="AC19" s="25">
        <f t="shared" si="7"/>
        <v>0</v>
      </c>
      <c r="AD19" s="25">
        <f t="shared" si="7"/>
        <v>0</v>
      </c>
      <c r="AE19" s="25">
        <f t="shared" si="7"/>
        <v>0</v>
      </c>
      <c r="AF19" s="25">
        <f t="shared" si="7"/>
        <v>19924.595148758315</v>
      </c>
      <c r="AG19" s="25">
        <f t="shared" si="7"/>
        <v>3654.6632091891847</v>
      </c>
      <c r="AH19" s="25">
        <f t="shared" si="7"/>
        <v>763.52315177324067</v>
      </c>
    </row>
    <row r="20" spans="3:34" x14ac:dyDescent="0.35">
      <c r="C20" s="92">
        <f>AF20*' KF China'!I$32/T20*' KF China'!I$139/' KF China'!I$139*-1</f>
        <v>-1898.0273549011838</v>
      </c>
      <c r="D20" s="92"/>
      <c r="E20" s="92">
        <f>AF20*' KF China'!I33/T20*' KF China'!I$140/' KF China'!I$140*-1</f>
        <v>-1837.2288435879739</v>
      </c>
      <c r="F20" s="92">
        <f>AF20*' KF China'!I$34/T20*' KF China'!I$140/' KF China'!I$140*-1</f>
        <v>-1729.3659199358865</v>
      </c>
      <c r="G20" s="92"/>
      <c r="H20" s="92"/>
      <c r="I20" s="92">
        <f>AF20*' KF China'!I$35/T20*' KF China'!I$142/' KF China'!I$142*-1</f>
        <v>-1114.8906075933492</v>
      </c>
      <c r="J20" s="92">
        <f>AF20*' KF China'!I$36/T20*' KF China'!I$140/' KF China'!I$140*-1</f>
        <v>-3236.138943080432</v>
      </c>
      <c r="K20" s="92">
        <f>AF20*' KF China'!I$37/T20*' KF China'!I$141/' KF China'!I$141*-1</f>
        <v>-3569.6933102436797</v>
      </c>
      <c r="L20" s="92">
        <f>AF20*' KF China'!I$38/T20*' KF China'!I$142/' KF China'!I$142*-1</f>
        <v>-1132.3094648290901</v>
      </c>
      <c r="M20" s="92"/>
      <c r="N20" s="23">
        <f>SUM(C20:L20)</f>
        <v>-14517.654444171594</v>
      </c>
      <c r="O20" s="84" t="s">
        <v>86</v>
      </c>
      <c r="P20" s="85" t="s">
        <v>87</v>
      </c>
      <c r="Q20" s="86" t="s">
        <v>85</v>
      </c>
      <c r="R20" s="86"/>
      <c r="S20" s="24">
        <f t="shared" si="1"/>
        <v>12599.017566358316</v>
      </c>
      <c r="T20" s="37">
        <f>(' KF China'!I32+' KF China'!I33+' KF China'!I34+' KF China'!I36)*' KF China'!I139+(' KF China'!I35+' KF China'!I38)*' KF China'!I142+' KF China'!I37*' KF China'!I141</f>
        <v>0.8678411250803979</v>
      </c>
      <c r="U20" s="61"/>
      <c r="V20" s="92"/>
      <c r="W20" s="92"/>
      <c r="X20" s="92"/>
      <c r="Y20" s="92"/>
      <c r="Z20" s="92"/>
      <c r="AA20" s="92"/>
      <c r="AB20" s="92"/>
      <c r="AC20" s="92"/>
      <c r="AD20" s="92"/>
      <c r="AE20" s="92"/>
      <c r="AF20" s="92">
        <f>' KF China'!I5*' KF China'!I9*((' KF China'!G32+' KF China'!G33+' KF China'!G34+' KF China'!G36)*' KF China'!G139+(' KF China'!G35+' KF China'!G38)*' KF China'!G142+' KF China'!G37*' KF China'!G141)*-1</f>
        <v>12599.017566358316</v>
      </c>
      <c r="AG20" s="92">
        <f>(N20+AF20)*-1</f>
        <v>1918.6368778132783</v>
      </c>
      <c r="AH20" s="87">
        <f>-(C20*Emissionsfaktorer!$B$2+D20*Emissionsfaktorer!$B$3+E20*Emissionsfaktorer!$B$4+F20*Emissionsfaktorer!$B$5+G20*Emissionsfaktorer!$B$6+H20*Emissionsfaktorer!$B$7+I20*Emissionsfaktorer!$B$8+J20*Emissionsfaktorer!$B$9+K20*Emissionsfaktorer!$B$10+L20*Emissionsfaktorer!$B$11+M20*Emissionsfaktorer!$B$12)</f>
        <v>418.51584826464398</v>
      </c>
    </row>
    <row r="21" spans="3:34" x14ac:dyDescent="0.35">
      <c r="C21" s="92">
        <f>AF21*' KF China'!I$40/T21*' KF China'!I$139/' KF China'!I$139*-1</f>
        <v>-716.93238399999996</v>
      </c>
      <c r="D21" s="92"/>
      <c r="E21" s="92">
        <f>AF21*' KF China'!I41/T21*' KF China'!I$140/' KF China'!I$140*-1</f>
        <v>-686.15646399999991</v>
      </c>
      <c r="F21" s="92">
        <f>AF21*' KF China'!I$42/T21*' KF China'!I$140/' KF China'!I$140*-1</f>
        <v>-611.28932800000007</v>
      </c>
      <c r="G21" s="92"/>
      <c r="H21" s="92"/>
      <c r="I21" s="92">
        <f>AF21*' KF China'!I$43/T21*' KF China'!I$142/' KF China'!I$142*-1</f>
        <v>-234.734432</v>
      </c>
      <c r="J21" s="92">
        <f>AF21*' KF China'!I$44/T21*' KF China'!I$140/' KF China'!I$140*-1</f>
        <v>-0.12561600000000001</v>
      </c>
      <c r="K21" s="92">
        <f>AF21*' KF China'!I$45/T21*' KF China'!I$141/' KF China'!I$141*-1</f>
        <v>-1609.5178080000003</v>
      </c>
      <c r="L21" s="92">
        <f>AF21*' KF China'!I$46/T21*' KF China'!I$142/' KF China'!I$142*-1</f>
        <v>-117.49283199999999</v>
      </c>
      <c r="M21" s="92"/>
      <c r="N21" s="23">
        <f t="shared" ref="N21:N24" si="8">SUM(C21:L21)</f>
        <v>-3976.2488640000001</v>
      </c>
      <c r="O21" s="84" t="s">
        <v>88</v>
      </c>
      <c r="P21" s="85" t="s">
        <v>89</v>
      </c>
      <c r="Q21" s="86" t="s">
        <v>85</v>
      </c>
      <c r="R21" s="86"/>
      <c r="S21" s="24">
        <f t="shared" si="1"/>
        <v>3492.8722152</v>
      </c>
      <c r="T21" s="37">
        <f>(' KF China'!I40+' KF China'!I41+' KF China'!I42+' KF China'!I44)*' KF China'!I139+(' KF China'!I43+' KF China'!I46)*' KF China'!I142+' KF China'!I45*' KF China'!I141</f>
        <v>0.87843400518101977</v>
      </c>
      <c r="U21" s="61"/>
      <c r="V21" s="92"/>
      <c r="W21" s="92"/>
      <c r="X21" s="92"/>
      <c r="Y21" s="92"/>
      <c r="Z21" s="92"/>
      <c r="AA21" s="92"/>
      <c r="AB21" s="92"/>
      <c r="AC21" s="92"/>
      <c r="AD21" s="92"/>
      <c r="AE21" s="92"/>
      <c r="AF21" s="92">
        <f>' KF China'!I5*' KF China'!I10*((' KF China'!G40+' KF China'!G41+' KF China'!G42+' KF China'!G44)*' KF China'!G139+(' KF China'!G43+' KF China'!G46)*' KF China'!G142+' KF China'!G45*' KF China'!G141)*-1</f>
        <v>3492.8722152</v>
      </c>
      <c r="AG21" s="92">
        <f t="shared" ref="AG21:AG24" si="9">(N21+AF21)*-1</f>
        <v>483.37664880000011</v>
      </c>
      <c r="AH21" s="87">
        <f>-(C21*Emissionsfaktorer!$B$2+D21*Emissionsfaktorer!$B$3+E21*Emissionsfaktorer!$B$4+F21*Emissionsfaktorer!$B$5+G21*Emissionsfaktorer!$B$6+H21*Emissionsfaktorer!$B$7+I21*Emissionsfaktorer!$B$8+J21*Emissionsfaktorer!$B$9+K21*Emissionsfaktorer!$B$10+L21*Emissionsfaktorer!$B$11+M21*Emissionsfaktorer!$B$12)</f>
        <v>155.09995943999999</v>
      </c>
    </row>
    <row r="22" spans="3:34" x14ac:dyDescent="0.35">
      <c r="C22" s="92">
        <f>AF22*' KF China'!I$48/T22*' KF China'!I$139/' KF China'!I$139*-1</f>
        <v>-577.44014822636859</v>
      </c>
      <c r="D22" s="92"/>
      <c r="E22" s="92">
        <f>AF22*' KF China'!I49/T22*' KF China'!I$140/' KF China'!I$140*-1</f>
        <v>-790.74545026154783</v>
      </c>
      <c r="F22" s="92">
        <f>AF22*' KF China'!I$50/T22*' KF China'!I$140/' KF China'!I$140*-1</f>
        <v>-4.6479953918148595</v>
      </c>
      <c r="G22" s="92"/>
      <c r="H22" s="92"/>
      <c r="I22" s="92">
        <f>AF22*' KF China'!I$51/T22*' KF China'!I$142/' KF China'!I$142*-1</f>
        <v>-61.638281231995251</v>
      </c>
      <c r="J22" s="92">
        <f>AF22*' KF China'!I$52/T22*' KF China'!I$140/' KF China'!I$140*-1</f>
        <v>0</v>
      </c>
      <c r="K22" s="92">
        <f>AF22*' KF China'!I$53/T22*' KF China'!I$141/' KF China'!I$141*-1</f>
        <v>-456.96913253041038</v>
      </c>
      <c r="L22" s="92">
        <f>AF22*' KF China'!I$54/T22*' KF China'!I$142/' KF China'!I$142*-1</f>
        <v>-1.4237103001955427</v>
      </c>
      <c r="M22" s="92"/>
      <c r="N22" s="23">
        <f t="shared" si="8"/>
        <v>-1892.8647179423326</v>
      </c>
      <c r="O22" s="84" t="s">
        <v>90</v>
      </c>
      <c r="P22" s="85" t="s">
        <v>91</v>
      </c>
      <c r="Q22" s="86" t="s">
        <v>85</v>
      </c>
      <c r="R22" s="86"/>
      <c r="S22" s="24">
        <f t="shared" si="1"/>
        <v>909.03274560000011</v>
      </c>
      <c r="T22" s="37">
        <f>(' KF China'!I48+' KF China'!I49+' KF China'!I50+' KF China'!I52)*' KF China'!I140+(' KF China'!I51+' KF China'!I54)*' KF China'!I142+' KF China'!I53*' KF China'!I141</f>
        <v>0.48024179276170248</v>
      </c>
      <c r="U22" s="61"/>
      <c r="V22" s="92"/>
      <c r="W22" s="92"/>
      <c r="X22" s="92"/>
      <c r="Y22" s="92"/>
      <c r="Z22" s="92"/>
      <c r="AA22" s="92"/>
      <c r="AB22" s="92"/>
      <c r="AC22" s="92"/>
      <c r="AD22" s="92"/>
      <c r="AE22" s="92"/>
      <c r="AF22" s="92">
        <f>((' KF China'!G48+' KF China'!G49+' KF China'!G50+' KF China'!G52)*' KF China'!G140+(' KF China'!G51+' KF China'!G54)*' KF China'!G142+' KF China'!G53*' KF China'!G141)*' KF China'!I11*' KF China'!I5*-1</f>
        <v>909.03274560000011</v>
      </c>
      <c r="AG22" s="92">
        <f t="shared" si="9"/>
        <v>983.83197234233251</v>
      </c>
      <c r="AH22" s="87">
        <f>-(C22*Emissionsfaktorer!$B$2+D22*Emissionsfaktorer!$B$3+E22*Emissionsfaktorer!$B$4+F22*Emissionsfaktorer!$B$5+G22*Emissionsfaktorer!$B$6+H22*Emissionsfaktorer!$B$7+I22*Emissionsfaktorer!$B$8+J22*Emissionsfaktorer!$B$9+K22*Emissionsfaktorer!$B$10+L22*Emissionsfaktorer!$B$11+M22*Emissionsfaktorer!$B$12)</f>
        <v>115.2184040387161</v>
      </c>
    </row>
    <row r="23" spans="3:34" x14ac:dyDescent="0.35">
      <c r="C23" s="92">
        <f>AF23*' KF China'!I$56/T23*' KF China'!I$139/' KF China'!I$139*-1</f>
        <v>0</v>
      </c>
      <c r="D23" s="92"/>
      <c r="E23" s="92">
        <f>AF23*' KF China'!I57/T23*' KF China'!I$140/' KF China'!I$140*-1</f>
        <v>0</v>
      </c>
      <c r="F23" s="92">
        <f>AF23*' KF China'!I$58/T23*' KF China'!I$140/' KF China'!I$140*-1</f>
        <v>0</v>
      </c>
      <c r="G23" s="92"/>
      <c r="H23" s="92"/>
      <c r="I23" s="92">
        <f>AF23*' KF China'!I$59/T23*' KF China'!I$142/' KF China'!I$142*-1</f>
        <v>0</v>
      </c>
      <c r="J23" s="92">
        <f>AF23*' KF China'!I$60/T23*' KF China'!I$140/' KF China'!I$140*-1</f>
        <v>0</v>
      </c>
      <c r="K23" s="92">
        <f>AF23*' KF China'!I$61/T23*' KF China'!I$141/' KF China'!I$141*-1</f>
        <v>0</v>
      </c>
      <c r="L23" s="92">
        <f>AF23*' KF China'!I$62/T23*' KF China'!I$142/' KF China'!I$142*-1</f>
        <v>0</v>
      </c>
      <c r="M23" s="92"/>
      <c r="N23" s="23">
        <f t="shared" si="8"/>
        <v>0</v>
      </c>
      <c r="O23" s="84" t="s">
        <v>92</v>
      </c>
      <c r="P23" s="85" t="s">
        <v>93</v>
      </c>
      <c r="Q23" s="86" t="s">
        <v>85</v>
      </c>
      <c r="R23" s="86"/>
      <c r="S23" s="24">
        <f t="shared" si="1"/>
        <v>0</v>
      </c>
      <c r="T23" s="37">
        <f>(' KF China'!I56+' KF China'!I57+' KF China'!I58+' KF China'!I60)*' KF China'!I140+(' KF China'!I59+' KF China'!I62)*' KF China'!I142+' KF China'!I61*' KF China'!I141</f>
        <v>0.95</v>
      </c>
      <c r="U23" s="61"/>
      <c r="V23" s="92"/>
      <c r="W23" s="92"/>
      <c r="X23" s="92"/>
      <c r="Y23" s="92"/>
      <c r="Z23" s="92"/>
      <c r="AA23" s="92"/>
      <c r="AB23" s="92"/>
      <c r="AC23" s="92"/>
      <c r="AD23" s="92"/>
      <c r="AE23" s="92"/>
      <c r="AF23" s="92">
        <f>((' KF China'!G56+' KF China'!G57+' KF China'!G58+' KF China'!G60)*' KF China'!G140+(' KF China'!G59+' KF China'!G62)*' KF China'!G142+' KF China'!G61*' KF China'!G141)*' KF China'!I5*' KF China'!I12*-1</f>
        <v>0</v>
      </c>
      <c r="AG23" s="92">
        <f t="shared" si="9"/>
        <v>0</v>
      </c>
      <c r="AH23" s="87">
        <f>-(C23*Emissionsfaktorer!$B$2+D23*Emissionsfaktorer!$B$3+E23*Emissionsfaktorer!$B$4+F23*Emissionsfaktorer!$B$5+G23*Emissionsfaktorer!$B$6+H23*Emissionsfaktorer!$B$7+I23*Emissionsfaktorer!$B$8+J23*Emissionsfaktorer!$B$9+K23*Emissionsfaktorer!$B$10+L23*Emissionsfaktorer!$B$11+M23*Emissionsfaktorer!$B$12)</f>
        <v>0</v>
      </c>
    </row>
    <row r="24" spans="3:34" x14ac:dyDescent="0.35">
      <c r="C24" s="92">
        <f>AF24*' KF China'!I$64/T24*' KF China'!I$139/' KF China'!I$139*-1</f>
        <v>-786.19936873558459</v>
      </c>
      <c r="D24" s="92"/>
      <c r="E24" s="92">
        <f>AF24*' KF China'!I65/T24*' KF China'!I$140/' KF China'!I$140*-1</f>
        <v>0</v>
      </c>
      <c r="F24" s="92">
        <f>AF24*' KF China'!I$66/T24*' KF China'!I$140/' KF China'!I$140*-1</f>
        <v>0</v>
      </c>
      <c r="G24" s="92"/>
      <c r="H24" s="92"/>
      <c r="I24" s="92">
        <f>AF24*' KF China'!I$67/T24*' KF China'!I$142/' KF China'!I$142*-1</f>
        <v>-3.4335507156113092</v>
      </c>
      <c r="J24" s="92">
        <f>AF24*' KF China'!I$68/T24*' KF China'!I$140/' KF China'!I$140*-1</f>
        <v>-0.12561770910773082</v>
      </c>
      <c r="K24" s="92">
        <f>AF24*' KF China'!I$69/T24*' KF China'!I$141/' KF China'!I$141*-1</f>
        <v>-2231.0542588927051</v>
      </c>
      <c r="L24" s="92">
        <f>AF24*' KF China'!I$70/T24*' KF China'!I$142/' KF China'!I$142*-1</f>
        <v>-171.67753578056548</v>
      </c>
      <c r="M24" s="92"/>
      <c r="N24" s="23">
        <f t="shared" si="8"/>
        <v>-3192.4903318335741</v>
      </c>
      <c r="O24" s="84" t="s">
        <v>94</v>
      </c>
      <c r="P24" s="85" t="s">
        <v>95</v>
      </c>
      <c r="Q24" s="86" t="s">
        <v>85</v>
      </c>
      <c r="R24" s="86"/>
      <c r="S24" s="24">
        <f t="shared" si="1"/>
        <v>2923.6726216000002</v>
      </c>
      <c r="T24" s="37">
        <f>(' KF China'!I64+' KF China'!I65+' KF China'!I66+' KF China'!I68)*' KF China'!I139+(' KF China'!I67+' KF China'!I70)*' KF China'!I142+' KF China'!I69*' KF China'!I141</f>
        <v>0.91579686003961025</v>
      </c>
      <c r="U24" s="61"/>
      <c r="V24" s="92"/>
      <c r="W24" s="92"/>
      <c r="X24" s="92"/>
      <c r="Y24" s="92"/>
      <c r="Z24" s="92"/>
      <c r="AA24" s="92"/>
      <c r="AB24" s="92"/>
      <c r="AC24" s="92"/>
      <c r="AD24" s="92"/>
      <c r="AE24" s="92"/>
      <c r="AF24" s="92">
        <f>((' KF China'!G64+' KF China'!G65+' KF China'!G66+' KF China'!G68)*' KF China'!G139+(' KF China'!G67+' KF China'!G70)*' KF China'!G142+' KF China'!G69*' KF China'!G141)*' KF China'!I5*' KF China'!I13*-1</f>
        <v>2923.6726216000002</v>
      </c>
      <c r="AG24" s="92">
        <f t="shared" si="9"/>
        <v>268.81771023357396</v>
      </c>
      <c r="AH24" s="87">
        <f>-(C24*Emissionsfaktorer!$B$2+D24*Emissionsfaktorer!$B$3+E24*Emissionsfaktorer!$B$4+F24*Emissionsfaktorer!$B$5+G24*Emissionsfaktorer!$B$6+H24*Emissionsfaktorer!$B$7+I24*Emissionsfaktorer!$B$8+J24*Emissionsfaktorer!$B$9+K24*Emissionsfaktorer!$B$10+L24*Emissionsfaktorer!$B$11+M24*Emissionsfaktorer!$B$12)</f>
        <v>74.688940029880541</v>
      </c>
    </row>
    <row r="25" spans="3:34" x14ac:dyDescent="0.35"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23">
        <f>N16</f>
        <v>-79055.59216</v>
      </c>
      <c r="O25" s="10" t="s">
        <v>11</v>
      </c>
      <c r="P25" s="71" t="s">
        <v>96</v>
      </c>
      <c r="Q25" s="71"/>
      <c r="R25" s="71"/>
      <c r="S25" s="24">
        <f t="shared" si="1"/>
        <v>60384.175125558322</v>
      </c>
      <c r="T25" s="37">
        <f>AF25/N25*-1</f>
        <v>0.76381914897743419</v>
      </c>
      <c r="U25" s="61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>
        <f>AF16</f>
        <v>60384.175125558322</v>
      </c>
      <c r="AG25" s="14">
        <f>-(S25+N25)</f>
        <v>18671.417034441678</v>
      </c>
      <c r="AH25" s="14"/>
    </row>
    <row r="28" spans="3:34" x14ac:dyDescent="0.35">
      <c r="X28" s="95"/>
    </row>
    <row r="29" spans="3:34" x14ac:dyDescent="0.35">
      <c r="X29" s="95"/>
    </row>
    <row r="30" spans="3:34" x14ac:dyDescent="0.35">
      <c r="X30" s="95"/>
    </row>
  </sheetData>
  <pageMargins left="0.7" right="0.7" top="0.75" bottom="0.75" header="0.3" footer="0.3"/>
  <pageSetup paperSize="9" orientation="portrait" horizontalDpi="4294967293" verticalDpi="4294967293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Ark16"/>
  <dimension ref="A1:AH31"/>
  <sheetViews>
    <sheetView topLeftCell="Q4" zoomScale="130" zoomScaleNormal="130" workbookViewId="0">
      <selection activeCell="AF23" sqref="AF23"/>
    </sheetView>
  </sheetViews>
  <sheetFormatPr defaultRowHeight="14.5" x14ac:dyDescent="0.35"/>
  <cols>
    <col min="3" max="3" width="16.453125" customWidth="1"/>
    <col min="4" max="4" width="12.81640625" customWidth="1"/>
    <col min="5" max="5" width="12.54296875" customWidth="1"/>
    <col min="6" max="6" width="16.54296875" customWidth="1"/>
    <col min="10" max="10" width="12.54296875" customWidth="1"/>
    <col min="11" max="11" width="11.54296875" customWidth="1"/>
    <col min="14" max="14" width="10.81640625" customWidth="1"/>
    <col min="15" max="15" width="51.54296875" customWidth="1"/>
    <col min="16" max="18" width="15.81640625" customWidth="1"/>
    <col min="19" max="19" width="12.81640625" customWidth="1"/>
    <col min="24" max="24" width="14.1796875" bestFit="1" customWidth="1"/>
    <col min="33" max="34" width="11.26953125" customWidth="1"/>
  </cols>
  <sheetData>
    <row r="1" spans="1:34" ht="140" x14ac:dyDescent="0.35">
      <c r="B1" s="44" t="s">
        <v>0</v>
      </c>
      <c r="C1" s="3" t="s">
        <v>1</v>
      </c>
      <c r="D1" s="8" t="s">
        <v>2</v>
      </c>
      <c r="E1" s="2" t="s">
        <v>3</v>
      </c>
      <c r="F1" s="3" t="s">
        <v>4</v>
      </c>
      <c r="G1" s="1" t="s">
        <v>5</v>
      </c>
      <c r="H1" s="1" t="s">
        <v>6</v>
      </c>
      <c r="I1" s="1" t="s">
        <v>7</v>
      </c>
      <c r="J1" s="3" t="s">
        <v>8</v>
      </c>
      <c r="K1" s="2" t="s">
        <v>9</v>
      </c>
      <c r="L1" s="2" t="s">
        <v>10</v>
      </c>
      <c r="M1" s="17" t="s">
        <v>11</v>
      </c>
      <c r="N1" s="5" t="s">
        <v>12</v>
      </c>
      <c r="O1" s="4" t="s">
        <v>257</v>
      </c>
      <c r="P1" s="60"/>
      <c r="Q1" s="60"/>
      <c r="R1" s="12" t="s">
        <v>14</v>
      </c>
      <c r="S1" s="11" t="s">
        <v>15</v>
      </c>
      <c r="T1" s="12" t="s">
        <v>16</v>
      </c>
      <c r="U1" s="44" t="s">
        <v>17</v>
      </c>
      <c r="V1" s="3" t="s">
        <v>1</v>
      </c>
      <c r="W1" s="8" t="s">
        <v>2</v>
      </c>
      <c r="X1" s="9" t="s">
        <v>3</v>
      </c>
      <c r="Y1" s="3" t="s">
        <v>4</v>
      </c>
      <c r="Z1" s="1" t="s">
        <v>5</v>
      </c>
      <c r="AA1" s="1" t="s">
        <v>6</v>
      </c>
      <c r="AB1" s="1" t="s">
        <v>7</v>
      </c>
      <c r="AC1" s="3" t="s">
        <v>8</v>
      </c>
      <c r="AD1" s="2" t="s">
        <v>9</v>
      </c>
      <c r="AE1" s="2" t="s">
        <v>10</v>
      </c>
      <c r="AF1" s="17" t="s">
        <v>11</v>
      </c>
      <c r="AG1" s="13" t="s">
        <v>18</v>
      </c>
      <c r="AH1" s="13" t="s">
        <v>19</v>
      </c>
    </row>
    <row r="2" spans="1:34" ht="24.75" customHeight="1" x14ac:dyDescent="0.35">
      <c r="A2" s="45" t="s">
        <v>20</v>
      </c>
      <c r="B2" s="46" t="s">
        <v>21</v>
      </c>
      <c r="C2" s="46" t="s">
        <v>22</v>
      </c>
      <c r="D2" s="46" t="s">
        <v>23</v>
      </c>
      <c r="E2" s="47" t="s">
        <v>24</v>
      </c>
      <c r="F2" s="46" t="s">
        <v>25</v>
      </c>
      <c r="G2" s="46" t="s">
        <v>26</v>
      </c>
      <c r="H2" s="46" t="s">
        <v>27</v>
      </c>
      <c r="I2" s="46" t="s">
        <v>28</v>
      </c>
      <c r="J2" s="48" t="s">
        <v>29</v>
      </c>
      <c r="K2" s="47" t="s">
        <v>30</v>
      </c>
      <c r="L2" s="49" t="s">
        <v>31</v>
      </c>
      <c r="M2" s="49" t="s">
        <v>32</v>
      </c>
      <c r="N2" s="50" t="s">
        <v>33</v>
      </c>
      <c r="O2" s="51"/>
      <c r="P2" s="52" t="s">
        <v>20</v>
      </c>
      <c r="Q2" s="53" t="s">
        <v>34</v>
      </c>
      <c r="R2" s="50" t="s">
        <v>35</v>
      </c>
      <c r="S2" s="54" t="s">
        <v>36</v>
      </c>
      <c r="T2" s="50" t="s">
        <v>37</v>
      </c>
      <c r="U2" s="46" t="s">
        <v>38</v>
      </c>
      <c r="V2" s="46" t="s">
        <v>39</v>
      </c>
      <c r="W2" s="46" t="s">
        <v>40</v>
      </c>
      <c r="X2" s="47" t="s">
        <v>41</v>
      </c>
      <c r="Y2" s="46" t="s">
        <v>42</v>
      </c>
      <c r="Z2" s="46" t="s">
        <v>43</v>
      </c>
      <c r="AA2" s="46" t="s">
        <v>44</v>
      </c>
      <c r="AB2" s="46" t="s">
        <v>45</v>
      </c>
      <c r="AC2" s="46" t="s">
        <v>46</v>
      </c>
      <c r="AD2" s="47" t="s">
        <v>47</v>
      </c>
      <c r="AE2" s="47" t="s">
        <v>48</v>
      </c>
      <c r="AF2" s="49" t="s">
        <v>49</v>
      </c>
      <c r="AG2" s="46" t="s">
        <v>50</v>
      </c>
      <c r="AH2" s="46" t="s">
        <v>51</v>
      </c>
    </row>
    <row r="3" spans="1:34" ht="24.75" customHeight="1" x14ac:dyDescent="0.35">
      <c r="A3" s="45" t="s">
        <v>34</v>
      </c>
      <c r="B3" s="55"/>
      <c r="C3" s="56" t="s">
        <v>52</v>
      </c>
      <c r="D3" s="56" t="s">
        <v>52</v>
      </c>
      <c r="E3" s="56" t="s">
        <v>21</v>
      </c>
      <c r="F3" s="56" t="s">
        <v>21</v>
      </c>
      <c r="G3" s="56" t="s">
        <v>21</v>
      </c>
      <c r="H3" s="56" t="s">
        <v>52</v>
      </c>
      <c r="I3" s="56" t="s">
        <v>52</v>
      </c>
      <c r="J3" s="56" t="s">
        <v>21</v>
      </c>
      <c r="K3" s="56" t="s">
        <v>21</v>
      </c>
      <c r="L3" s="57" t="s">
        <v>21</v>
      </c>
      <c r="M3" s="57" t="s">
        <v>21</v>
      </c>
      <c r="N3" s="50"/>
      <c r="O3" s="51" t="s">
        <v>53</v>
      </c>
      <c r="P3" s="52"/>
      <c r="Q3" s="53"/>
      <c r="R3" s="74"/>
      <c r="S3" s="58"/>
      <c r="T3" s="59"/>
      <c r="U3" s="55"/>
      <c r="V3" s="56" t="s">
        <v>38</v>
      </c>
      <c r="W3" s="56" t="s">
        <v>38</v>
      </c>
      <c r="X3" s="56" t="s">
        <v>38</v>
      </c>
      <c r="Y3" s="56" t="s">
        <v>38</v>
      </c>
      <c r="Z3" s="56" t="s">
        <v>38</v>
      </c>
      <c r="AA3" s="56" t="s">
        <v>38</v>
      </c>
      <c r="AB3" s="56" t="s">
        <v>54</v>
      </c>
      <c r="AC3" s="56" t="s">
        <v>38</v>
      </c>
      <c r="AD3" s="56" t="s">
        <v>38</v>
      </c>
      <c r="AE3" s="56" t="s">
        <v>38</v>
      </c>
      <c r="AF3" s="57" t="s">
        <v>38</v>
      </c>
      <c r="AG3" s="56"/>
      <c r="AH3" s="56"/>
    </row>
    <row r="4" spans="1:34" ht="24.75" customHeight="1" x14ac:dyDescent="0.35">
      <c r="A4" s="72" t="s">
        <v>55</v>
      </c>
      <c r="B4" s="72"/>
      <c r="C4" s="56"/>
      <c r="D4" s="56"/>
      <c r="E4" s="56"/>
      <c r="F4" s="56"/>
      <c r="G4" s="56"/>
      <c r="H4" s="56"/>
      <c r="I4" s="56"/>
      <c r="J4" s="56"/>
      <c r="K4" s="56"/>
      <c r="L4" s="57"/>
      <c r="M4" s="57"/>
      <c r="N4" s="50"/>
      <c r="O4" s="51"/>
      <c r="P4" s="73"/>
      <c r="Q4" s="53"/>
      <c r="R4" s="74"/>
      <c r="S4" s="58"/>
      <c r="T4" s="59"/>
      <c r="U4" s="55">
        <f>B4</f>
        <v>0</v>
      </c>
      <c r="V4" s="56"/>
      <c r="W4" s="56"/>
      <c r="X4" s="56"/>
      <c r="Y4" s="56"/>
      <c r="Z4" s="56"/>
      <c r="AA4" s="56"/>
      <c r="AB4" s="56"/>
      <c r="AC4" s="56"/>
      <c r="AD4" s="56"/>
      <c r="AE4" s="56"/>
      <c r="AF4" s="57"/>
      <c r="AG4" s="56">
        <f>U4</f>
        <v>0</v>
      </c>
      <c r="AH4" s="56">
        <f>U4</f>
        <v>0</v>
      </c>
    </row>
    <row r="5" spans="1:34" x14ac:dyDescent="0.35">
      <c r="C5" s="14"/>
      <c r="D5" s="14"/>
      <c r="E5" s="14"/>
      <c r="F5" s="14"/>
      <c r="G5" s="14"/>
      <c r="H5" s="14"/>
      <c r="I5" s="14"/>
      <c r="J5" s="14"/>
      <c r="K5" s="14"/>
      <c r="L5" s="14"/>
      <c r="M5" s="14"/>
      <c r="N5" s="23">
        <f>SUM(C5:M5)</f>
        <v>0</v>
      </c>
      <c r="O5" s="10" t="s">
        <v>56</v>
      </c>
      <c r="P5" s="62" t="s">
        <v>57</v>
      </c>
      <c r="Q5" s="63"/>
      <c r="R5" s="63"/>
      <c r="S5" s="24">
        <f>SUM(V5:AF5)</f>
        <v>113310.27407847594</v>
      </c>
      <c r="T5" s="37"/>
      <c r="U5" s="61"/>
      <c r="V5" s="14">
        <f>-(C6+C5)</f>
        <v>75090.545690429935</v>
      </c>
      <c r="W5" s="14">
        <f>-(D6+D5)</f>
        <v>20443.416579371864</v>
      </c>
      <c r="X5" s="14"/>
      <c r="Y5" s="14">
        <f>-(F6+F5)</f>
        <v>9760.3097931818702</v>
      </c>
      <c r="Z5" s="14">
        <f>-(G6+G5)</f>
        <v>3153.7849945440944</v>
      </c>
      <c r="AA5" s="14"/>
      <c r="AB5" s="14"/>
      <c r="AC5" s="14">
        <f>-(J6+J5)</f>
        <v>4862.2170209481901</v>
      </c>
      <c r="AD5" s="14"/>
      <c r="AE5" s="14"/>
      <c r="AF5" s="14"/>
      <c r="AG5" s="14"/>
      <c r="AH5" s="14"/>
    </row>
    <row r="6" spans="1:34" x14ac:dyDescent="0.35">
      <c r="C6" s="14">
        <f>-V6</f>
        <v>-75090.545690429935</v>
      </c>
      <c r="D6" s="14">
        <f>-W6</f>
        <v>-20443.416579371864</v>
      </c>
      <c r="E6" s="14"/>
      <c r="F6" s="14">
        <f>-Y6</f>
        <v>-9760.3097931818702</v>
      </c>
      <c r="G6" s="14">
        <f>-Z6</f>
        <v>-3153.7849945440944</v>
      </c>
      <c r="H6" s="14"/>
      <c r="I6" s="14"/>
      <c r="J6" s="14">
        <f>-AC6</f>
        <v>-4862.2170209481901</v>
      </c>
      <c r="K6" s="14"/>
      <c r="L6" s="18"/>
      <c r="M6" s="18"/>
      <c r="N6" s="23">
        <f t="shared" ref="N6:N15" si="0">SUM(C6:M6)</f>
        <v>-113310.27407847594</v>
      </c>
      <c r="O6" s="22" t="s">
        <v>58</v>
      </c>
      <c r="P6" s="65" t="s">
        <v>59</v>
      </c>
      <c r="Q6" s="66"/>
      <c r="R6" s="66"/>
      <c r="S6" s="24">
        <f t="shared" ref="S6:S25" si="1">SUM(V6:AF6)</f>
        <v>113310.27407847594</v>
      </c>
      <c r="T6" s="37"/>
      <c r="U6" s="61"/>
      <c r="V6" s="14">
        <f>-(C16+C8)</f>
        <v>75090.545690429935</v>
      </c>
      <c r="W6" s="14">
        <f>-(D16+D8)</f>
        <v>20443.416579371864</v>
      </c>
      <c r="X6" s="14"/>
      <c r="Y6" s="14">
        <f>-(F16+F8)</f>
        <v>9760.3097931818702</v>
      </c>
      <c r="Z6" s="14">
        <f>-(G16+G8)</f>
        <v>3153.7849945440944</v>
      </c>
      <c r="AA6" s="14"/>
      <c r="AB6" s="14"/>
      <c r="AC6" s="14">
        <f>-(J16+J8)</f>
        <v>4862.2170209481901</v>
      </c>
      <c r="AD6" s="14"/>
      <c r="AE6" s="14"/>
      <c r="AF6" s="14"/>
      <c r="AG6" s="21">
        <f>-(N6+S6)</f>
        <v>0</v>
      </c>
      <c r="AH6" s="21"/>
    </row>
    <row r="7" spans="1:34" x14ac:dyDescent="0.35"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23">
        <f t="shared" si="0"/>
        <v>0</v>
      </c>
      <c r="O7" s="22" t="s">
        <v>60</v>
      </c>
      <c r="P7" s="67" t="s">
        <v>61</v>
      </c>
      <c r="Q7" s="66"/>
      <c r="R7" s="66"/>
      <c r="S7" s="24">
        <f t="shared" si="1"/>
        <v>6154.2671789644628</v>
      </c>
      <c r="T7" s="37"/>
      <c r="U7" s="61"/>
      <c r="V7" s="14"/>
      <c r="W7" s="14"/>
      <c r="X7" s="14"/>
      <c r="Y7" s="14"/>
      <c r="Z7" s="16"/>
      <c r="AA7" s="19">
        <f>-H8</f>
        <v>4231.5819238254689</v>
      </c>
      <c r="AB7" s="19">
        <f>-I8</f>
        <v>1922.6852551389936</v>
      </c>
      <c r="AC7" s="14"/>
      <c r="AD7" s="14"/>
      <c r="AE7" s="14"/>
      <c r="AF7" s="14"/>
      <c r="AG7" s="14"/>
      <c r="AH7" s="14"/>
    </row>
    <row r="8" spans="1:34" x14ac:dyDescent="0.35">
      <c r="C8" s="14">
        <f>SUM(C9:C13)</f>
        <v>-50361.378567258696</v>
      </c>
      <c r="D8" s="14">
        <f t="shared" ref="D8:M8" si="2">SUM(D9:D13)</f>
        <v>-20420.97321215842</v>
      </c>
      <c r="E8" s="14">
        <f t="shared" si="2"/>
        <v>-2011.6124969378352</v>
      </c>
      <c r="F8" s="14">
        <f t="shared" si="2"/>
        <v>-3741.6182518418618</v>
      </c>
      <c r="G8" s="14">
        <f t="shared" si="2"/>
        <v>-3153.7849945440944</v>
      </c>
      <c r="H8" s="14">
        <f t="shared" si="2"/>
        <v>-4231.5819238254689</v>
      </c>
      <c r="I8" s="14">
        <f t="shared" si="2"/>
        <v>-1922.6852551389936</v>
      </c>
      <c r="J8" s="14">
        <f t="shared" si="2"/>
        <v>-1529.0603784877703</v>
      </c>
      <c r="K8" s="14">
        <f t="shared" si="2"/>
        <v>-2734.3253439999999</v>
      </c>
      <c r="L8" s="14">
        <f t="shared" si="2"/>
        <v>-560.66607999999997</v>
      </c>
      <c r="M8" s="14">
        <f t="shared" si="2"/>
        <v>0</v>
      </c>
      <c r="N8" s="23">
        <f t="shared" si="0"/>
        <v>-90667.686504193131</v>
      </c>
      <c r="O8" s="22" t="s">
        <v>62</v>
      </c>
      <c r="P8" s="67" t="s">
        <v>63</v>
      </c>
      <c r="Q8" s="66"/>
      <c r="R8" s="66"/>
      <c r="S8" s="24">
        <f t="shared" si="1"/>
        <v>50085.416132815517</v>
      </c>
      <c r="T8" s="37"/>
      <c r="U8" s="61"/>
      <c r="V8" s="14">
        <f>SUM(V9:V13)</f>
        <v>0</v>
      </c>
      <c r="W8" s="14"/>
      <c r="X8" s="14">
        <f>(E14+E8)*-1</f>
        <v>19401.96952656296</v>
      </c>
      <c r="Y8" s="14"/>
      <c r="Z8" s="14"/>
      <c r="AA8" s="14"/>
      <c r="AB8" s="14"/>
      <c r="AC8" s="14"/>
      <c r="AD8" s="14">
        <f>(K14+K8)*-1</f>
        <v>25745.265692507612</v>
      </c>
      <c r="AE8" s="14">
        <f>(L14+L8)*-1</f>
        <v>4938.1809137449463</v>
      </c>
      <c r="AF8" s="14"/>
      <c r="AG8" s="21">
        <f>-(N8+S8)</f>
        <v>40582.270371377614</v>
      </c>
      <c r="AH8" s="21">
        <f>SUM(AH9:AH13)</f>
        <v>5150.4857540118392</v>
      </c>
    </row>
    <row r="9" spans="1:34" x14ac:dyDescent="0.35">
      <c r="C9" s="26">
        <f>-($AD$9+$H$9+$I$9)/$T$9*' KF China'!$H109</f>
        <v>-26193.135254173172</v>
      </c>
      <c r="D9" s="26">
        <f>-($AD$9+$H$9+$I$9)/$T$9*' KF China'!$H110</f>
        <v>-6.3596783211388104</v>
      </c>
      <c r="E9" s="26">
        <f>-($AD$9+$H$9+$I$9)/$T$9*' KF China'!$H111</f>
        <v>-105.20138848645102</v>
      </c>
      <c r="F9" s="26">
        <f>-($AD$9+$H$9+$I$9)/$T$9*' KF China'!$H112</f>
        <v>-1030.4320087553554</v>
      </c>
      <c r="G9" s="26">
        <f>-($AD$9+$H$9+$I$9)/$T$9*' KF China'!$H113</f>
        <v>-3153.7849945440944</v>
      </c>
      <c r="H9" s="26">
        <f>AD9*' KF China'!H94*-1</f>
        <v>-4231.5819238254689</v>
      </c>
      <c r="I9" s="26">
        <f>AD9*' KF China'!H95*-1</f>
        <v>-1922.6852551389936</v>
      </c>
      <c r="J9" s="26">
        <f>-($AD$9+$H$9+$I$9)/$T$9*' KF China'!$H114</f>
        <v>-1467.6906659706863</v>
      </c>
      <c r="K9" s="25"/>
      <c r="L9" s="25"/>
      <c r="M9" s="25"/>
      <c r="N9" s="23">
        <f t="shared" si="0"/>
        <v>-38110.871169215367</v>
      </c>
      <c r="O9" s="6" t="s">
        <v>64</v>
      </c>
      <c r="P9" s="68" t="s">
        <v>65</v>
      </c>
      <c r="Q9" s="69" t="s">
        <v>63</v>
      </c>
      <c r="R9" s="69"/>
      <c r="S9" s="24">
        <f t="shared" si="1"/>
        <v>18397.673759473364</v>
      </c>
      <c r="T9" s="37">
        <f>' KF China'!H104</f>
        <v>0.38312602253493633</v>
      </c>
      <c r="U9" s="61"/>
      <c r="V9" s="28"/>
      <c r="W9" s="28"/>
      <c r="X9" s="28"/>
      <c r="Y9" s="28"/>
      <c r="Z9" s="28"/>
      <c r="AA9" s="28"/>
      <c r="AB9" s="28"/>
      <c r="AC9" s="28"/>
      <c r="AD9" s="28">
        <f>AD8-AD10</f>
        <v>18397.673759473364</v>
      </c>
      <c r="AE9" s="28"/>
      <c r="AF9" s="28"/>
      <c r="AG9" s="29">
        <f>-(S9+N9)</f>
        <v>19713.197409742002</v>
      </c>
      <c r="AH9" s="29">
        <f>-(C9*Emissionsfaktorer!$B$2*(1-' KF China'!H134)+D9*Emissionsfaktorer!$B$3+E9*Emissionsfaktorer!$B$4*(1-' KF China'!H135)+F9*Emissionsfaktorer!$B$5*(1-' KF China'!H136)+G9*Emissionsfaktorer!$B$6+H9*Emissionsfaktorer!$B$7+I9*Emissionsfaktorer!$B$8-J9*Emissionsfaktorer!B13*' KF China'!H137+K9*Emissionsfaktorer!$B$10+L9*Emissionsfaktorer!$B$11+M9*Emissionsfaktorer!$B$12)</f>
        <v>2555.0777791704772</v>
      </c>
    </row>
    <row r="10" spans="1:34" x14ac:dyDescent="0.35">
      <c r="C10" s="26">
        <f>-($AD$10+$AE$10+$H$10+$I$10)/$T$10*' KF China'!$H116</f>
        <v>-22029.945068634141</v>
      </c>
      <c r="D10" s="26">
        <f>-($AD$10+$AE$10+$H$10+$I$10)/$T$10*' KF China'!$H117</f>
        <v>0</v>
      </c>
      <c r="E10" s="26">
        <f>-($AD$10+$AE$10+$H$10+$I$10)/$T$10*' KF China'!$H118</f>
        <v>0</v>
      </c>
      <c r="F10" s="26">
        <f>-($AD$10+$AE$10+$H$10+$I$10)/$T$10*' KF China'!$H119</f>
        <v>-1081.339694635122</v>
      </c>
      <c r="G10" s="26">
        <f>-($AD$10+$AE$10+$H$10+$I$10)/$T$10*' KF China'!$H120</f>
        <v>0</v>
      </c>
      <c r="H10" s="26"/>
      <c r="I10" s="26">
        <f>(AD10+AE10)*' KF China'!H98*-1</f>
        <v>0</v>
      </c>
      <c r="J10" s="26">
        <f>-($AD$10+$AE$10+$H$10+$I$10)/$T$10*' KF China'!$H121</f>
        <v>-4.0739852222726034</v>
      </c>
      <c r="K10" s="25"/>
      <c r="L10" s="25"/>
      <c r="M10" s="25"/>
      <c r="N10" s="23">
        <f t="shared" si="0"/>
        <v>-23115.358748491533</v>
      </c>
      <c r="O10" s="6" t="s">
        <v>66</v>
      </c>
      <c r="P10" s="68" t="s">
        <v>67</v>
      </c>
      <c r="Q10" s="69" t="s">
        <v>63</v>
      </c>
      <c r="R10" s="69"/>
      <c r="S10" s="24">
        <f t="shared" si="1"/>
        <v>11748.657908530629</v>
      </c>
      <c r="T10" s="37">
        <f>' KF China'!H105</f>
        <v>0.50826197578687049</v>
      </c>
      <c r="U10" s="61"/>
      <c r="V10" s="28"/>
      <c r="W10" s="28"/>
      <c r="X10" s="28"/>
      <c r="Y10" s="28"/>
      <c r="Z10" s="28"/>
      <c r="AA10" s="28"/>
      <c r="AB10" s="28"/>
      <c r="AC10" s="28"/>
      <c r="AD10" s="28">
        <f>AE10*' KF China'!H90</f>
        <v>7347.5919330342458</v>
      </c>
      <c r="AE10" s="28">
        <f>AE8*' KF China'!H85</f>
        <v>4401.0659754963845</v>
      </c>
      <c r="AF10" s="28"/>
      <c r="AG10" s="29">
        <f t="shared" ref="AG10:AG11" si="3">-(S10+N10)</f>
        <v>11366.700839960904</v>
      </c>
      <c r="AH10" s="29">
        <f>-(C10*Emissionsfaktorer!$B$2*(1-' KF China'!H135)+D10*Emissionsfaktorer!$B$3+E10*Emissionsfaktorer!$B$4*(1-' KF China'!H136)+F10*Emissionsfaktorer!$B$5*(1-' KF China'!H137)+G10*Emissionsfaktorer!$B$6+H10*Emissionsfaktorer!$B$7+I10*Emissionsfaktorer!$B$8-J10*Emissionsfaktorer!B14*' KF China'!H142+K10*Emissionsfaktorer!$B$10+L10*Emissionsfaktorer!$B$11+M10*Emissionsfaktorer!$B$12)</f>
        <v>2154.4811441144457</v>
      </c>
    </row>
    <row r="11" spans="1:34" x14ac:dyDescent="0.35">
      <c r="C11" s="26">
        <f>-($AE$11+$H$11+$I$11)/IF($T$11=0,1,$T$11)*' KF China'!$H123</f>
        <v>-368.95501245138433</v>
      </c>
      <c r="D11" s="26">
        <f>-($AE$11+$H$11+$I$11)/IF($T$11=0,1,$T$11)*' KF China'!$H123</f>
        <v>-368.95501245138433</v>
      </c>
      <c r="E11" s="26">
        <f>-($AE$11+$H$11+$I$11)/IF($T$11=0,1,$T$11)*' KF China'!$H123</f>
        <v>-368.95501245138433</v>
      </c>
      <c r="F11" s="26">
        <f>-($AE$11+$H$11+$I$11)/IF($T$11=0,1,$T$11)*' KF China'!$H123</f>
        <v>-368.95501245138433</v>
      </c>
      <c r="G11" s="26">
        <f>-($AE$11+$H$11+$I$11)/IF($T$11=0,1,T11)*' KF China'!$H127</f>
        <v>0</v>
      </c>
      <c r="H11" s="26"/>
      <c r="I11" s="26">
        <f>AE11*' KF China'!H101*-1</f>
        <v>0</v>
      </c>
      <c r="J11" s="26">
        <f>-($AE$11+$H$11+$I$11)/IF($T$11=0,1,T11)*' KF China'!$H128</f>
        <v>-57.295727294811471</v>
      </c>
      <c r="K11" s="28">
        <f>AE11*' KF China'!H88*-1</f>
        <v>0</v>
      </c>
      <c r="L11" s="25"/>
      <c r="M11" s="25"/>
      <c r="N11" s="23">
        <f t="shared" si="0"/>
        <v>-1533.1157771003489</v>
      </c>
      <c r="O11" s="6" t="s">
        <v>68</v>
      </c>
      <c r="P11" s="64" t="s">
        <v>69</v>
      </c>
      <c r="Q11" s="69" t="s">
        <v>63</v>
      </c>
      <c r="R11" s="69"/>
      <c r="S11" s="24">
        <f t="shared" si="1"/>
        <v>537.11493824856166</v>
      </c>
      <c r="T11" s="37">
        <f>' KF China'!H106</f>
        <v>0.86889153754469606</v>
      </c>
      <c r="U11" s="61"/>
      <c r="V11" s="28"/>
      <c r="W11" s="28"/>
      <c r="X11" s="28"/>
      <c r="Y11" s="28"/>
      <c r="Z11" s="28"/>
      <c r="AA11" s="28"/>
      <c r="AB11" s="28"/>
      <c r="AC11" s="28"/>
      <c r="AD11" s="28"/>
      <c r="AE11" s="28">
        <f>AE8*' KF China'!H86</f>
        <v>537.11493824856166</v>
      </c>
      <c r="AF11" s="28"/>
      <c r="AG11" s="29">
        <f t="shared" si="3"/>
        <v>996.00083885178719</v>
      </c>
      <c r="AH11" s="29">
        <f>-(C11*Emissionsfaktorer!$B$2+D11*Emissionsfaktorer!$B$3+E11*Emissionsfaktorer!$B$4+F11*Emissionsfaktorer!$B$5+G11*Emissionsfaktorer!$B$6+H11*Emissionsfaktorer!$B$7+I11*Emissionsfaktorer!$B$8+J11*Emissionsfaktorer!$B$9+K11*Emissionsfaktorer!$B$10+L11*Emissionsfaktorer!$B$11+M11*Emissionsfaktorer!$B$12)</f>
        <v>84.121742838915623</v>
      </c>
    </row>
    <row r="12" spans="1:34" x14ac:dyDescent="0.35">
      <c r="C12" s="26"/>
      <c r="D12" s="26">
        <f>-X12/T12*' KF China'!H130</f>
        <v>-19916.609017385897</v>
      </c>
      <c r="E12" s="25"/>
      <c r="F12" s="26"/>
      <c r="G12" s="26"/>
      <c r="H12" s="26"/>
      <c r="I12" s="26"/>
      <c r="J12" s="27">
        <f>-X12/T12*' KF China'!H131</f>
        <v>0</v>
      </c>
      <c r="K12" s="25"/>
      <c r="L12" s="25"/>
      <c r="M12" s="25"/>
      <c r="N12" s="23">
        <f t="shared" si="0"/>
        <v>-19916.609017385897</v>
      </c>
      <c r="O12" s="6" t="s">
        <v>70</v>
      </c>
      <c r="P12" s="64" t="s">
        <v>71</v>
      </c>
      <c r="Q12" s="69" t="s">
        <v>63</v>
      </c>
      <c r="R12" s="69"/>
      <c r="S12" s="24">
        <f t="shared" si="1"/>
        <v>19401.96952656296</v>
      </c>
      <c r="T12" s="37">
        <f>' KF China'!H107</f>
        <v>0.97416028549972078</v>
      </c>
      <c r="U12" s="61"/>
      <c r="V12" s="28"/>
      <c r="W12" s="28"/>
      <c r="X12" s="28">
        <f>-(E9+E10+E11+E13+E14)</f>
        <v>19401.96952656296</v>
      </c>
      <c r="Y12" s="28"/>
      <c r="Z12" s="28"/>
      <c r="AA12" s="28"/>
      <c r="AB12" s="28"/>
      <c r="AC12" s="28"/>
      <c r="AD12" s="28"/>
      <c r="AE12" s="28"/>
      <c r="AF12" s="28"/>
      <c r="AG12" s="29">
        <f>-(S12+N12)</f>
        <v>514.63949082293766</v>
      </c>
      <c r="AH12" s="29">
        <f>J12*Emissionsfaktorer!B4</f>
        <v>0</v>
      </c>
    </row>
    <row r="13" spans="1:34" x14ac:dyDescent="0.35">
      <c r="C13" s="28">
        <f>N13*' KF China'!H79</f>
        <v>-1769.3432319999999</v>
      </c>
      <c r="D13" s="28">
        <f>N13*' KF China'!H81</f>
        <v>-129.04950399999998</v>
      </c>
      <c r="E13" s="28">
        <f>N13*' KF China'!H82</f>
        <v>-1537.4560959999999</v>
      </c>
      <c r="F13" s="28">
        <f>N13*' KF China'!H80</f>
        <v>-1260.8915359999999</v>
      </c>
      <c r="G13" s="28"/>
      <c r="H13" s="28"/>
      <c r="I13" s="28"/>
      <c r="J13" s="36">
        <f>N13*' KF China'!H83</f>
        <v>0</v>
      </c>
      <c r="K13" s="28">
        <f>N13*' KF China'!H77</f>
        <v>-2734.3253439999999</v>
      </c>
      <c r="L13" s="28">
        <f>N13*' KF China'!H78</f>
        <v>-560.66607999999997</v>
      </c>
      <c r="M13" s="25"/>
      <c r="N13" s="23">
        <f>N16*' KF China'!H75</f>
        <v>-7991.7317919999996</v>
      </c>
      <c r="O13" s="6" t="s">
        <v>72</v>
      </c>
      <c r="P13" s="64" t="s">
        <v>73</v>
      </c>
      <c r="Q13" s="69" t="s">
        <v>63</v>
      </c>
      <c r="R13" s="69"/>
      <c r="S13" s="24">
        <f t="shared" si="1"/>
        <v>0</v>
      </c>
      <c r="T13" s="37">
        <v>0</v>
      </c>
      <c r="U13" s="61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9">
        <f>-(S13+N13)</f>
        <v>7991.7317919999996</v>
      </c>
      <c r="AH13" s="29">
        <f>-(C13*Emissionsfaktorer!$B$2+D13*Emissionsfaktorer!$B$3+E13*Emissionsfaktorer!$B$4+F13*Emissionsfaktorer!$B$5+G13*Emissionsfaktorer!$B$6+H13*Emissionsfaktorer!$B$7+I13*Emissionsfaktorer!$B$8+J13*Emissionsfaktorer!$B$9+K13*Emissionsfaktorer!$B$10+L13*Emissionsfaktorer!$B$11+M13*Emissionsfaktorer!$B$12)</f>
        <v>356.805087888</v>
      </c>
    </row>
    <row r="14" spans="1:34" x14ac:dyDescent="0.35">
      <c r="C14" s="15"/>
      <c r="D14" s="15"/>
      <c r="E14" s="16">
        <f>-X14*1</f>
        <v>-17390.357029625124</v>
      </c>
      <c r="F14" s="15"/>
      <c r="G14" s="15"/>
      <c r="H14" s="15"/>
      <c r="I14" s="15"/>
      <c r="J14" s="20"/>
      <c r="K14" s="16">
        <f>-AD14*(1+' KF China'!H72)</f>
        <v>-23010.940348507611</v>
      </c>
      <c r="L14" s="16">
        <f>-AE14*(1+' KF China'!H73)</f>
        <v>-4377.5148337449464</v>
      </c>
      <c r="M14" s="16"/>
      <c r="N14" s="23">
        <f t="shared" si="0"/>
        <v>-44778.812211877681</v>
      </c>
      <c r="O14" s="22" t="s">
        <v>74</v>
      </c>
      <c r="P14" s="66" t="s">
        <v>75</v>
      </c>
      <c r="Q14" s="70"/>
      <c r="R14" s="70"/>
      <c r="S14" s="24">
        <f t="shared" si="1"/>
        <v>43517.41905007913</v>
      </c>
      <c r="T14" s="37"/>
      <c r="U14" s="61"/>
      <c r="V14" s="16"/>
      <c r="W14" s="16"/>
      <c r="X14" s="16">
        <f>-E16</f>
        <v>17390.357029625124</v>
      </c>
      <c r="Y14" s="16"/>
      <c r="Z14" s="16"/>
      <c r="AA14" s="16"/>
      <c r="AB14" s="16"/>
      <c r="AC14" s="16"/>
      <c r="AD14" s="16">
        <f>-K16</f>
        <v>21800.296612582359</v>
      </c>
      <c r="AE14" s="16">
        <f>-L16</f>
        <v>4326.7654078716414</v>
      </c>
      <c r="AF14" s="16"/>
      <c r="AG14" s="21">
        <f>-(N14+S14)</f>
        <v>1261.3931617985509</v>
      </c>
      <c r="AH14" s="21"/>
    </row>
    <row r="15" spans="1:34" x14ac:dyDescent="0.35"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23">
        <f t="shared" si="0"/>
        <v>0</v>
      </c>
      <c r="O15" s="22" t="s">
        <v>76</v>
      </c>
      <c r="P15" s="67" t="s">
        <v>77</v>
      </c>
      <c r="Q15" s="66"/>
      <c r="R15" s="66"/>
      <c r="S15" s="24">
        <f t="shared" si="1"/>
        <v>1434.8791532515522</v>
      </c>
      <c r="T15" s="37"/>
      <c r="U15" s="61"/>
      <c r="V15" s="14"/>
      <c r="W15" s="14"/>
      <c r="X15" s="14"/>
      <c r="Y15" s="14"/>
      <c r="Z15" s="14"/>
      <c r="AA15" s="14"/>
      <c r="AB15" s="14">
        <f>I16*-1</f>
        <v>1434.8791532515522</v>
      </c>
      <c r="AC15" s="14"/>
      <c r="AD15" s="14"/>
      <c r="AE15" s="14"/>
      <c r="AF15" s="14"/>
      <c r="AG15" s="14"/>
      <c r="AH15" s="14"/>
    </row>
    <row r="16" spans="1:34" x14ac:dyDescent="0.35">
      <c r="C16" s="14">
        <f t="shared" ref="C16:M16" si="4">SUM(C17:C19)</f>
        <v>-24729.167123171239</v>
      </c>
      <c r="D16" s="14">
        <f t="shared" si="4"/>
        <v>-22.443367213443494</v>
      </c>
      <c r="E16" s="14">
        <f t="shared" si="4"/>
        <v>-17390.357029625124</v>
      </c>
      <c r="F16" s="14">
        <f t="shared" si="4"/>
        <v>-6018.6915413400084</v>
      </c>
      <c r="G16" s="14">
        <f t="shared" si="4"/>
        <v>0</v>
      </c>
      <c r="H16" s="14">
        <f t="shared" si="4"/>
        <v>0</v>
      </c>
      <c r="I16" s="14">
        <f t="shared" si="4"/>
        <v>-1434.8791532515522</v>
      </c>
      <c r="J16" s="14">
        <f t="shared" si="4"/>
        <v>-3333.1566424604202</v>
      </c>
      <c r="K16" s="14">
        <f t="shared" si="4"/>
        <v>-21800.296612582359</v>
      </c>
      <c r="L16" s="14">
        <f t="shared" si="4"/>
        <v>-4326.7654078716414</v>
      </c>
      <c r="M16" s="14">
        <f t="shared" si="4"/>
        <v>0</v>
      </c>
      <c r="N16" s="23">
        <f>' KF China'!H5</f>
        <v>-79055.59216</v>
      </c>
      <c r="O16" s="10" t="s">
        <v>78</v>
      </c>
      <c r="P16" s="71" t="s">
        <v>79</v>
      </c>
      <c r="Q16" s="71"/>
      <c r="R16" s="71"/>
      <c r="S16" s="24">
        <f t="shared" si="1"/>
        <v>60384.175125558322</v>
      </c>
      <c r="T16" s="37"/>
      <c r="U16" s="61"/>
      <c r="V16" s="14"/>
      <c r="W16" s="14"/>
      <c r="X16" s="14"/>
      <c r="Y16" s="14"/>
      <c r="Z16" s="14"/>
      <c r="AA16" s="14"/>
      <c r="AB16" s="14"/>
      <c r="AC16" s="14"/>
      <c r="AD16" s="14"/>
      <c r="AE16" s="14"/>
      <c r="AF16" s="14">
        <f>SUM(AF17:AF19)</f>
        <v>60384.175125558322</v>
      </c>
      <c r="AG16" s="14">
        <f t="shared" ref="AG16:AH16" si="5">SUM(AG17:AG19)</f>
        <v>18671.581751957459</v>
      </c>
      <c r="AH16" s="14">
        <f t="shared" si="5"/>
        <v>4014.0034288091574</v>
      </c>
    </row>
    <row r="17" spans="3:34" x14ac:dyDescent="0.35">
      <c r="C17" s="25">
        <f>AF17*' KF China'!H15/T17*' KF China'!H139/' KF China'!H$139*-1</f>
        <v>-20750.484123071259</v>
      </c>
      <c r="D17" s="25">
        <f>AF17*' KF China'!H16/T17*' KF China'!H139/' KF China'!H$139*-1</f>
        <v>-22.443367213443494</v>
      </c>
      <c r="E17" s="25">
        <f>AF17*' KF China'!H17/T17*' KF China'!H139/' KF China'!H$139*-1</f>
        <v>-1912.7527195472244</v>
      </c>
      <c r="F17" s="25">
        <f>AF17*' KF China'!H18/T17*' KF China'!H139/' KF China'!H$139*-1</f>
        <v>-2740.9380928955434</v>
      </c>
      <c r="G17" s="25"/>
      <c r="H17" s="25"/>
      <c r="I17" s="25">
        <f>AF17*' KF China'!H19/T17*' KF China'!H142/' KF China'!H$142*-1</f>
        <v>-20.182281710596577</v>
      </c>
      <c r="J17" s="25">
        <f>AF17*' KF China'!H20*' KF China'!H139/T17/' KF China'!H$139*-1</f>
        <v>0</v>
      </c>
      <c r="K17" s="25">
        <f>AF17*' KF China'!H21*' KF China'!H141/T17/' KF China'!H$141*-1</f>
        <v>-13423.813398679624</v>
      </c>
      <c r="L17" s="25">
        <f>AF17*' KF China'!H22*' KF China'!H142/T17/' KF China'!H$142*-1</f>
        <v>-2903.8618649617906</v>
      </c>
      <c r="M17" s="25"/>
      <c r="N17" s="23">
        <f>SUM(C17:L17)</f>
        <v>-41774.475848079484</v>
      </c>
      <c r="O17" s="6" t="s">
        <v>80</v>
      </c>
      <c r="P17" s="64" t="s">
        <v>81</v>
      </c>
      <c r="Q17" s="69" t="s">
        <v>79</v>
      </c>
      <c r="R17" s="69"/>
      <c r="S17" s="24">
        <f t="shared" si="1"/>
        <v>36017.961517600008</v>
      </c>
      <c r="T17" s="37">
        <f>(' KF China'!H15+' KF China'!H16+' KF China'!H17+' KF China'!H18+' KF China'!H20)*' KF China'!H139+(' KF China'!H19+' KF China'!H22)*' KF China'!H142+' KF China'!H21*' KF China'!H141</f>
        <v>0.86220020207042003</v>
      </c>
      <c r="U17" s="61"/>
      <c r="V17" s="25"/>
      <c r="W17" s="25"/>
      <c r="X17" s="25"/>
      <c r="Y17" s="25"/>
      <c r="Z17" s="25"/>
      <c r="AA17" s="25"/>
      <c r="AB17" s="25"/>
      <c r="AC17" s="25"/>
      <c r="AD17" s="25"/>
      <c r="AE17" s="25"/>
      <c r="AF17" s="25">
        <f>' KF China'!H5*' KF China'!H7*((' KF China'!G15+' KF China'!G16+' KF China'!G17+' KF China'!G18+' KF China'!G20)*' KF China'!G139+(' KF China'!G19+' KF China'!G22)*' KF China'!G142+' KF China'!G21*' KF China'!G141)*-1</f>
        <v>36017.961517600008</v>
      </c>
      <c r="AG17" s="25">
        <f>(S17+SUM(C17:M17))*-1</f>
        <v>5756.5143304794765</v>
      </c>
      <c r="AH17" s="29">
        <f>-(C17*Emissionsfaktorer!$B$2+D17*Emissionsfaktorer!$B$3+E17*Emissionsfaktorer!$B$4+F17*Emissionsfaktorer!$B$5+G17*Emissionsfaktorer!$B$6+H17*Emissionsfaktorer!$B$7+I17*Emissionsfaktorer!$B$8+J17*Emissionsfaktorer!$B$9+K17*Emissionsfaktorer!$B$10+L17*Emissionsfaktorer!$B$11+M17*Emissionsfaktorer!$B$12)</f>
        <v>2272.8986696724046</v>
      </c>
    </row>
    <row r="18" spans="3:34" x14ac:dyDescent="0.35">
      <c r="C18" s="25">
        <f>AF18*' KF China'!H24/T18*' KF China'!H140/' KF China'!H$140*-1</f>
        <v>-8.3744236841956407E-2</v>
      </c>
      <c r="D18" s="25"/>
      <c r="E18" s="25">
        <f>AF18*' KF China'!H25/T18*' KF China'!H140/' KF China'!H$140*-1</f>
        <v>-12163.473552228377</v>
      </c>
      <c r="F18" s="25">
        <f>AF18*' KF China'!H26/T18*' KF China'!H140/' KF China'!H$140*-1</f>
        <v>-932.45020511676375</v>
      </c>
      <c r="G18" s="25"/>
      <c r="H18" s="25"/>
      <c r="I18" s="25">
        <f>AF18*' KF China'!H27/T18*' KF China'!H142/' KF China'!H$142*-1</f>
        <v>0</v>
      </c>
      <c r="J18" s="25">
        <f>AF18*' KF China'!H28/T18*' KF China'!H140/' KF China'!H$140*-1</f>
        <v>-96.766465670880621</v>
      </c>
      <c r="K18" s="25">
        <f>AF18*' KF China'!H29/T18*' KF China'!H141/' KF China'!H$141*-1</f>
        <v>-509.24870423593688</v>
      </c>
      <c r="L18" s="25">
        <f>AF18*' KF China'!H30/T18*' KF China'!H142/' KF China'!H$142*-1</f>
        <v>0</v>
      </c>
      <c r="M18" s="25"/>
      <c r="N18" s="23">
        <f>SUM(C18:L18)</f>
        <v>-13702.022671488799</v>
      </c>
      <c r="O18" s="6" t="s">
        <v>82</v>
      </c>
      <c r="P18" s="64" t="s">
        <v>83</v>
      </c>
      <c r="Q18" s="69" t="s">
        <v>79</v>
      </c>
      <c r="R18" s="69"/>
      <c r="S18" s="24">
        <f t="shared" si="1"/>
        <v>4441.6184592</v>
      </c>
      <c r="T18" s="37">
        <f>(' KF China'!H24+' KF China'!H25+' KF China'!H26+' KF China'!H28)*' KF China'!H140+(' KF China'!H27+' KF China'!H30)*' KF China'!H142+' KF China'!H29*' KF China'!H141</f>
        <v>0.32415786819869519</v>
      </c>
      <c r="U18" s="61"/>
      <c r="V18" s="25"/>
      <c r="W18" s="25"/>
      <c r="X18" s="25"/>
      <c r="Y18" s="25"/>
      <c r="Z18" s="25"/>
      <c r="AA18" s="25"/>
      <c r="AB18" s="25"/>
      <c r="AC18" s="25"/>
      <c r="AD18" s="25"/>
      <c r="AE18" s="25"/>
      <c r="AF18" s="25">
        <f>' KF China'!H5*' KF China'!H8*-1*((' KF China'!G24+' KF China'!G25+' KF China'!G26+' KF China'!G28)*' KF China'!G140+(' KF China'!G27+' KF China'!G30)*' KF China'!G142+' KF China'!G29*' KF China'!G141)</f>
        <v>4441.6184592</v>
      </c>
      <c r="AG18" s="25">
        <f>(S18+SUM(C18:M18))*-1</f>
        <v>9260.4042122887986</v>
      </c>
      <c r="AH18" s="29">
        <f>-(C18*Emissionsfaktorer!$B$2+D18*Emissionsfaktorer!$B$3+E18*Emissionsfaktorer!$B$4+F18*Emissionsfaktorer!$B$5+G18*Emissionsfaktorer!$B$6+H18*Emissionsfaktorer!$B$7+I18*Emissionsfaktorer!$B$8+J18*Emissionsfaktorer!$B$9+K18*Emissionsfaktorer!$B$10+L18*Emissionsfaktorer!$B$11+M18*Emissionsfaktorer!$B$12)</f>
        <v>977.58160736351215</v>
      </c>
    </row>
    <row r="19" spans="3:34" x14ac:dyDescent="0.35">
      <c r="C19" s="25">
        <f>SUM(C20:C24)</f>
        <v>-3978.5992558631369</v>
      </c>
      <c r="D19" s="25">
        <f t="shared" ref="D19:M19" si="6">SUM(D20:D24)</f>
        <v>0</v>
      </c>
      <c r="E19" s="25">
        <f t="shared" si="6"/>
        <v>-3314.1307578495216</v>
      </c>
      <c r="F19" s="25">
        <f t="shared" si="6"/>
        <v>-2345.3032433277012</v>
      </c>
      <c r="G19" s="25">
        <f t="shared" si="6"/>
        <v>0</v>
      </c>
      <c r="H19" s="25">
        <f t="shared" si="6"/>
        <v>0</v>
      </c>
      <c r="I19" s="25">
        <f t="shared" si="6"/>
        <v>-1414.6968715409557</v>
      </c>
      <c r="J19" s="25">
        <f t="shared" si="6"/>
        <v>-3236.3901767895395</v>
      </c>
      <c r="K19" s="25">
        <f t="shared" si="6"/>
        <v>-7867.2345096667959</v>
      </c>
      <c r="L19" s="25">
        <f t="shared" si="6"/>
        <v>-1422.903542909851</v>
      </c>
      <c r="M19" s="25">
        <f t="shared" si="6"/>
        <v>0</v>
      </c>
      <c r="N19" s="23">
        <f>SUM(N20:N24)</f>
        <v>-23579.258357947499</v>
      </c>
      <c r="O19" s="6" t="s">
        <v>84</v>
      </c>
      <c r="P19" s="64" t="s">
        <v>85</v>
      </c>
      <c r="Q19" s="69" t="s">
        <v>79</v>
      </c>
      <c r="R19" s="69"/>
      <c r="S19" s="24">
        <f t="shared" si="1"/>
        <v>19924.595148758315</v>
      </c>
      <c r="T19" s="37">
        <v>0.8</v>
      </c>
      <c r="U19" s="61"/>
      <c r="V19" s="25">
        <f>SUM(V20:V24)</f>
        <v>0</v>
      </c>
      <c r="W19" s="25">
        <f t="shared" ref="W19:AH19" si="7">SUM(W20:W24)</f>
        <v>0</v>
      </c>
      <c r="X19" s="25">
        <f t="shared" si="7"/>
        <v>0</v>
      </c>
      <c r="Y19" s="25">
        <f t="shared" si="7"/>
        <v>0</v>
      </c>
      <c r="Z19" s="25">
        <f t="shared" si="7"/>
        <v>0</v>
      </c>
      <c r="AA19" s="25">
        <f t="shared" si="7"/>
        <v>0</v>
      </c>
      <c r="AB19" s="25">
        <f t="shared" si="7"/>
        <v>0</v>
      </c>
      <c r="AC19" s="25">
        <f t="shared" si="7"/>
        <v>0</v>
      </c>
      <c r="AD19" s="25">
        <f t="shared" si="7"/>
        <v>0</v>
      </c>
      <c r="AE19" s="25">
        <f t="shared" si="7"/>
        <v>0</v>
      </c>
      <c r="AF19" s="25">
        <f t="shared" si="7"/>
        <v>19924.595148758315</v>
      </c>
      <c r="AG19" s="25">
        <f t="shared" si="7"/>
        <v>3654.6632091891847</v>
      </c>
      <c r="AH19" s="25">
        <f t="shared" si="7"/>
        <v>763.52315177324067</v>
      </c>
    </row>
    <row r="20" spans="3:34" x14ac:dyDescent="0.35">
      <c r="C20" s="92">
        <f>AF20*' KF China'!H$32/T20*' KF China'!H$139/' KF China'!H$139*-1</f>
        <v>-1898.0273549011838</v>
      </c>
      <c r="D20" s="92"/>
      <c r="E20" s="92">
        <f>AF20*' KF China'!H33/T20*' KF China'!H$140/' KF China'!H$140*-1</f>
        <v>-1837.2288435879739</v>
      </c>
      <c r="F20" s="92">
        <f>AF20*' KF China'!H$34/T20*' KF China'!H$140/' KF China'!H$140*-1</f>
        <v>-1729.3659199358865</v>
      </c>
      <c r="G20" s="92"/>
      <c r="H20" s="92"/>
      <c r="I20" s="92">
        <f>AF20*' KF China'!H$35/T20*' KF China'!H$142/' KF China'!H$142*-1</f>
        <v>-1114.8906075933492</v>
      </c>
      <c r="J20" s="92">
        <f>AF20*' KF China'!H$36/T20*' KF China'!H$140/' KF China'!H$140*-1</f>
        <v>-3236.138943080432</v>
      </c>
      <c r="K20" s="92">
        <f>AF20*' KF China'!H$37/T20*' KF China'!H$141/' KF China'!H$141*-1</f>
        <v>-3569.6933102436797</v>
      </c>
      <c r="L20" s="92">
        <f>AF20*' KF China'!H$38/T20*' KF China'!H$142/' KF China'!H$142*-1</f>
        <v>-1132.3094648290901</v>
      </c>
      <c r="M20" s="92"/>
      <c r="N20" s="23">
        <f>SUM(C20:L20)</f>
        <v>-14517.654444171594</v>
      </c>
      <c r="O20" s="84" t="s">
        <v>86</v>
      </c>
      <c r="P20" s="85" t="s">
        <v>87</v>
      </c>
      <c r="Q20" s="86" t="s">
        <v>85</v>
      </c>
      <c r="R20" s="86"/>
      <c r="S20" s="24">
        <f t="shared" si="1"/>
        <v>12599.017566358316</v>
      </c>
      <c r="T20" s="37">
        <f>(' KF China'!H32+' KF China'!H33+' KF China'!H34+' KF China'!H36)*' KF China'!H139+(' KF China'!H35+' KF China'!H38)*' KF China'!H142+' KF China'!H37*' KF China'!H141</f>
        <v>0.8678411250803979</v>
      </c>
      <c r="U20" s="61"/>
      <c r="V20" s="92"/>
      <c r="W20" s="92"/>
      <c r="X20" s="92"/>
      <c r="Y20" s="92"/>
      <c r="Z20" s="92"/>
      <c r="AA20" s="92"/>
      <c r="AB20" s="92"/>
      <c r="AC20" s="92"/>
      <c r="AD20" s="92"/>
      <c r="AE20" s="92"/>
      <c r="AF20" s="92">
        <f>' KF China'!H5*' KF China'!H9*((' KF China'!G32+' KF China'!G33+' KF China'!G34+' KF China'!G36)*' KF China'!G139+(' KF China'!G35+' KF China'!G38)*' KF China'!G142+' KF China'!G37*' KF China'!G141)*-1</f>
        <v>12599.017566358316</v>
      </c>
      <c r="AG20" s="92">
        <f>(N20+AF20)*-1</f>
        <v>1918.6368778132783</v>
      </c>
      <c r="AH20" s="87">
        <f>-(C20*Emissionsfaktorer!$B$2+D20*Emissionsfaktorer!$B$3+E20*Emissionsfaktorer!$B$4+F20*Emissionsfaktorer!$B$5+G20*Emissionsfaktorer!$B$6+H20*Emissionsfaktorer!$B$7+I20*Emissionsfaktorer!$B$8+J20*Emissionsfaktorer!$B$9+K20*Emissionsfaktorer!$B$10+L20*Emissionsfaktorer!$B$11+M20*Emissionsfaktorer!$B$12)</f>
        <v>418.51584826464398</v>
      </c>
    </row>
    <row r="21" spans="3:34" x14ac:dyDescent="0.35">
      <c r="C21" s="92">
        <f>AF21*' KF China'!H$40/T21*' KF China'!H$139/' KF China'!H$139*-1</f>
        <v>-716.93238399999996</v>
      </c>
      <c r="D21" s="92"/>
      <c r="E21" s="92">
        <f>AF21*' KF China'!H41/T21*' KF China'!H$140/' KF China'!H$140*-1</f>
        <v>-686.15646399999991</v>
      </c>
      <c r="F21" s="92">
        <f>AF21*' KF China'!H$42/T21*' KF China'!H$140/' KF China'!H$140*-1</f>
        <v>-611.28932800000007</v>
      </c>
      <c r="G21" s="92"/>
      <c r="H21" s="92"/>
      <c r="I21" s="92">
        <f>AF21*' KF China'!H$43/T21*' KF China'!H$142/' KF China'!H$142*-1</f>
        <v>-234.734432</v>
      </c>
      <c r="J21" s="92">
        <f>AF21*' KF China'!H$44/T21*' KF China'!H$140/' KF China'!H$140*-1</f>
        <v>-0.12561600000000001</v>
      </c>
      <c r="K21" s="92">
        <f>AF21*' KF China'!H$45/T21*' KF China'!H$141/' KF China'!H$141*-1</f>
        <v>-1609.5178080000003</v>
      </c>
      <c r="L21" s="92">
        <f>AF21*' KF China'!H$46/T21*' KF China'!H$142/' KF China'!H$142*-1</f>
        <v>-117.49283199999999</v>
      </c>
      <c r="M21" s="92"/>
      <c r="N21" s="23">
        <f t="shared" ref="N21:N24" si="8">SUM(C21:L21)</f>
        <v>-3976.2488640000001</v>
      </c>
      <c r="O21" s="84" t="s">
        <v>88</v>
      </c>
      <c r="P21" s="85" t="s">
        <v>89</v>
      </c>
      <c r="Q21" s="86" t="s">
        <v>85</v>
      </c>
      <c r="R21" s="86"/>
      <c r="S21" s="24">
        <f t="shared" si="1"/>
        <v>3492.8722152</v>
      </c>
      <c r="T21" s="37">
        <f>(' KF China'!H40+' KF China'!H41+' KF China'!H42+' KF China'!H44)*' KF China'!H139+(' KF China'!H43+' KF China'!H46)*' KF China'!H142+' KF China'!H45*' KF China'!H141</f>
        <v>0.87843400518101977</v>
      </c>
      <c r="U21" s="61"/>
      <c r="V21" s="92"/>
      <c r="W21" s="92"/>
      <c r="X21" s="92"/>
      <c r="Y21" s="92"/>
      <c r="Z21" s="92"/>
      <c r="AA21" s="92"/>
      <c r="AB21" s="92"/>
      <c r="AC21" s="92"/>
      <c r="AD21" s="92"/>
      <c r="AE21" s="92"/>
      <c r="AF21" s="92">
        <f>' KF China'!H5*' KF China'!H10*((' KF China'!G40+' KF China'!G41+' KF China'!G42+' KF China'!G44)*' KF China'!G139+(' KF China'!G43+' KF China'!G46)*' KF China'!G142+' KF China'!G45*' KF China'!G141)*-1</f>
        <v>3492.8722152</v>
      </c>
      <c r="AG21" s="92">
        <f t="shared" ref="AG21:AG24" si="9">(N21+AF21)*-1</f>
        <v>483.37664880000011</v>
      </c>
      <c r="AH21" s="87">
        <f>-(C21*Emissionsfaktorer!$B$2+D21*Emissionsfaktorer!$B$3+E21*Emissionsfaktorer!$B$4+F21*Emissionsfaktorer!$B$5+G21*Emissionsfaktorer!$B$6+H21*Emissionsfaktorer!$B$7+I21*Emissionsfaktorer!$B$8+J21*Emissionsfaktorer!$B$9+K21*Emissionsfaktorer!$B$10+L21*Emissionsfaktorer!$B$11+M21*Emissionsfaktorer!$B$12)</f>
        <v>155.09995943999999</v>
      </c>
    </row>
    <row r="22" spans="3:34" x14ac:dyDescent="0.35">
      <c r="C22" s="92">
        <f>AF22*' KF China'!H$48/T22*' KF China'!H$139/' KF China'!H$139*-1</f>
        <v>-577.44014822636859</v>
      </c>
      <c r="D22" s="92"/>
      <c r="E22" s="92">
        <f>AF22*' KF China'!H49/T22*' KF China'!H$140/' KF China'!H$140*-1</f>
        <v>-790.74545026154783</v>
      </c>
      <c r="F22" s="92">
        <f>AF22*' KF China'!H$50/T22*' KF China'!H$140/' KF China'!H$140*-1</f>
        <v>-4.6479953918148595</v>
      </c>
      <c r="G22" s="92"/>
      <c r="H22" s="92"/>
      <c r="I22" s="92">
        <f>AF22*' KF China'!H$51/T22*' KF China'!H$142/' KF China'!H$142*-1</f>
        <v>-61.638281231995251</v>
      </c>
      <c r="J22" s="92">
        <f>AF22*' KF China'!H$52/T22*' KF China'!H$140/' KF China'!H$140*-1</f>
        <v>0</v>
      </c>
      <c r="K22" s="92">
        <f>AF22*' KF China'!H$53/T22*' KF China'!H$141/' KF China'!H$141*-1</f>
        <v>-456.96913253041038</v>
      </c>
      <c r="L22" s="92">
        <f>AF22*' KF China'!H$54/T22*' KF China'!H$142/' KF China'!H$142*-1</f>
        <v>-1.4237103001955427</v>
      </c>
      <c r="M22" s="92"/>
      <c r="N22" s="23">
        <f t="shared" si="8"/>
        <v>-1892.8647179423326</v>
      </c>
      <c r="O22" s="84" t="s">
        <v>90</v>
      </c>
      <c r="P22" s="85" t="s">
        <v>91</v>
      </c>
      <c r="Q22" s="86" t="s">
        <v>85</v>
      </c>
      <c r="R22" s="86"/>
      <c r="S22" s="24">
        <f t="shared" si="1"/>
        <v>909.03274560000011</v>
      </c>
      <c r="T22" s="37">
        <f>(' KF China'!H48+' KF China'!H49+' KF China'!H50+' KF China'!H52)*' KF China'!H140+(' KF China'!H51+' KF China'!H54)*' KF China'!H142+' KF China'!H53*' KF China'!H141</f>
        <v>0.48024179276170248</v>
      </c>
      <c r="U22" s="61"/>
      <c r="V22" s="92"/>
      <c r="W22" s="92"/>
      <c r="X22" s="92"/>
      <c r="Y22" s="92"/>
      <c r="Z22" s="92"/>
      <c r="AA22" s="92"/>
      <c r="AB22" s="92"/>
      <c r="AC22" s="92"/>
      <c r="AD22" s="92"/>
      <c r="AE22" s="92"/>
      <c r="AF22" s="92">
        <f>((' KF China'!G48+' KF China'!G49+' KF China'!G50+' KF China'!G52)*' KF China'!G140+(' KF China'!G51+' KF China'!G54)*' KF China'!G142+' KF China'!G53*' KF China'!G141)*' KF China'!H11*' KF China'!H5*-1</f>
        <v>909.03274560000011</v>
      </c>
      <c r="AG22" s="92">
        <f t="shared" si="9"/>
        <v>983.83197234233251</v>
      </c>
      <c r="AH22" s="87">
        <f>-(C22*Emissionsfaktorer!$B$2+D22*Emissionsfaktorer!$B$3+E22*Emissionsfaktorer!$B$4+F22*Emissionsfaktorer!$B$5+G22*Emissionsfaktorer!$B$6+H22*Emissionsfaktorer!$B$7+I22*Emissionsfaktorer!$B$8+J22*Emissionsfaktorer!$B$9+K22*Emissionsfaktorer!$B$10+L22*Emissionsfaktorer!$B$11+M22*Emissionsfaktorer!$B$12)</f>
        <v>115.2184040387161</v>
      </c>
    </row>
    <row r="23" spans="3:34" x14ac:dyDescent="0.35">
      <c r="C23" s="92">
        <f>AF23*' KF China'!H$56/T23*' KF China'!H$139/' KF China'!H$139*-1</f>
        <v>0</v>
      </c>
      <c r="D23" s="92"/>
      <c r="E23" s="92">
        <f>AF23*' KF China'!H57/T23*' KF China'!H$140/' KF China'!H$140*-1</f>
        <v>0</v>
      </c>
      <c r="F23" s="92">
        <f>AF23*' KF China'!H$58/T23*' KF China'!H$140/' KF China'!H$140*-1</f>
        <v>0</v>
      </c>
      <c r="G23" s="92"/>
      <c r="H23" s="92"/>
      <c r="I23" s="92">
        <f>AF23*' KF China'!H$59/T23*' KF China'!H$142/' KF China'!H$142*-1</f>
        <v>0</v>
      </c>
      <c r="J23" s="92">
        <f>AF23*' KF China'!H$60/T23*' KF China'!H$140/' KF China'!H$140*-1</f>
        <v>0</v>
      </c>
      <c r="K23" s="92">
        <f>AF23*' KF China'!H$61/T23*' KF China'!H$141/' KF China'!H$141*-1</f>
        <v>0</v>
      </c>
      <c r="L23" s="92">
        <f>AF23*' KF China'!H$62/T23*' KF China'!H$142/' KF China'!H$142*-1</f>
        <v>0</v>
      </c>
      <c r="M23" s="92"/>
      <c r="N23" s="23">
        <f t="shared" si="8"/>
        <v>0</v>
      </c>
      <c r="O23" s="84" t="s">
        <v>92</v>
      </c>
      <c r="P23" s="85" t="s">
        <v>93</v>
      </c>
      <c r="Q23" s="86" t="s">
        <v>85</v>
      </c>
      <c r="R23" s="86"/>
      <c r="S23" s="24">
        <f t="shared" si="1"/>
        <v>0</v>
      </c>
      <c r="T23" s="37">
        <f>(' KF China'!H56+' KF China'!H57+' KF China'!H58+' KF China'!H60)*' KF China'!H140+(' KF China'!H59+' KF China'!H62)*' KF China'!H142+' KF China'!H61*' KF China'!H141</f>
        <v>0.95</v>
      </c>
      <c r="U23" s="61"/>
      <c r="V23" s="92"/>
      <c r="W23" s="92"/>
      <c r="X23" s="92"/>
      <c r="Y23" s="92"/>
      <c r="Z23" s="92"/>
      <c r="AA23" s="92"/>
      <c r="AB23" s="92"/>
      <c r="AC23" s="92"/>
      <c r="AD23" s="92"/>
      <c r="AE23" s="92"/>
      <c r="AF23" s="92">
        <f>((' KF China'!G56+' KF China'!G57+' KF China'!G58+' KF China'!G60)*' KF China'!G140+(' KF China'!G59+' KF China'!G62)*' KF China'!G142+' KF China'!G61*' KF China'!G141)*' KF China'!H5*' KF China'!H12*-1</f>
        <v>0</v>
      </c>
      <c r="AG23" s="92">
        <f t="shared" si="9"/>
        <v>0</v>
      </c>
      <c r="AH23" s="87">
        <f>-(C23*Emissionsfaktorer!$B$2+D23*Emissionsfaktorer!$B$3+E23*Emissionsfaktorer!$B$4+F23*Emissionsfaktorer!$B$5+G23*Emissionsfaktorer!$B$6+H23*Emissionsfaktorer!$B$7+I23*Emissionsfaktorer!$B$8+J23*Emissionsfaktorer!$B$9+K23*Emissionsfaktorer!$B$10+L23*Emissionsfaktorer!$B$11+M23*Emissionsfaktorer!$B$12)</f>
        <v>0</v>
      </c>
    </row>
    <row r="24" spans="3:34" x14ac:dyDescent="0.35">
      <c r="C24" s="92">
        <f>AF24*' KF China'!H$64/T24*' KF China'!H$139/' KF China'!H$139*-1</f>
        <v>-786.19936873558459</v>
      </c>
      <c r="D24" s="92"/>
      <c r="E24" s="92">
        <f>AF24*' KF China'!H65/T24*' KF China'!H$140/' KF China'!H$140*-1</f>
        <v>0</v>
      </c>
      <c r="F24" s="92">
        <f>AF24*' KF China'!H$66/T24*' KF China'!H$140/' KF China'!H$140*-1</f>
        <v>0</v>
      </c>
      <c r="G24" s="92"/>
      <c r="H24" s="92"/>
      <c r="I24" s="92">
        <f>AF24*' KF China'!H$67/T24*' KF China'!H$142/' KF China'!H$142*-1</f>
        <v>-3.4335507156113092</v>
      </c>
      <c r="J24" s="92">
        <f>AF24*' KF China'!H$68/T24*' KF China'!H$140/' KF China'!H$140*-1</f>
        <v>-0.12561770910773082</v>
      </c>
      <c r="K24" s="92">
        <f>AF24*' KF China'!H$69/T24*' KF China'!H$141/' KF China'!H$141*-1</f>
        <v>-2231.0542588927051</v>
      </c>
      <c r="L24" s="92">
        <f>AF24*' KF China'!H$70/T24*' KF China'!H$142/' KF China'!H$142*-1</f>
        <v>-171.67753578056548</v>
      </c>
      <c r="M24" s="92"/>
      <c r="N24" s="23">
        <f t="shared" si="8"/>
        <v>-3192.4903318335741</v>
      </c>
      <c r="O24" s="84" t="s">
        <v>94</v>
      </c>
      <c r="P24" s="85" t="s">
        <v>95</v>
      </c>
      <c r="Q24" s="86" t="s">
        <v>85</v>
      </c>
      <c r="R24" s="86"/>
      <c r="S24" s="24">
        <f t="shared" si="1"/>
        <v>2923.6726216000002</v>
      </c>
      <c r="T24" s="37">
        <f>(' KF China'!H64+' KF China'!H65+' KF China'!H66+' KF China'!H68)*' KF China'!H139+(' KF China'!H67+' KF China'!H70)*' KF China'!H142+' KF China'!H69*' KF China'!H141</f>
        <v>0.91579686003961025</v>
      </c>
      <c r="U24" s="61"/>
      <c r="V24" s="92"/>
      <c r="W24" s="92"/>
      <c r="X24" s="92"/>
      <c r="Y24" s="92"/>
      <c r="Z24" s="92"/>
      <c r="AA24" s="92"/>
      <c r="AB24" s="92"/>
      <c r="AC24" s="92"/>
      <c r="AD24" s="92"/>
      <c r="AE24" s="92"/>
      <c r="AF24" s="92">
        <f>((' KF China'!G64+' KF China'!G65+' KF China'!G66+' KF China'!G68)*' KF China'!G139+(' KF China'!G67+' KF China'!G70)*' KF China'!G142+' KF China'!G69*' KF China'!G141)*' KF China'!H5*' KF China'!H13*-1</f>
        <v>2923.6726216000002</v>
      </c>
      <c r="AG24" s="92">
        <f t="shared" si="9"/>
        <v>268.81771023357396</v>
      </c>
      <c r="AH24" s="87">
        <f>-(C24*Emissionsfaktorer!$B$2+D24*Emissionsfaktorer!$B$3+E24*Emissionsfaktorer!$B$4+F24*Emissionsfaktorer!$B$5+G24*Emissionsfaktorer!$B$6+H24*Emissionsfaktorer!$B$7+I24*Emissionsfaktorer!$B$8+J24*Emissionsfaktorer!$B$9+K24*Emissionsfaktorer!$B$10+L24*Emissionsfaktorer!$B$11+M24*Emissionsfaktorer!$B$12)</f>
        <v>74.688940029880541</v>
      </c>
    </row>
    <row r="25" spans="3:34" x14ac:dyDescent="0.35"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23">
        <f>N16</f>
        <v>-79055.59216</v>
      </c>
      <c r="O25" s="10" t="s">
        <v>11</v>
      </c>
      <c r="P25" s="71" t="s">
        <v>96</v>
      </c>
      <c r="Q25" s="71"/>
      <c r="R25" s="71"/>
      <c r="S25" s="24">
        <f t="shared" si="1"/>
        <v>60384.175125558322</v>
      </c>
      <c r="T25" s="37">
        <f>AF25/N25*-1</f>
        <v>0.76381914897743419</v>
      </c>
      <c r="U25" s="61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>
        <f>AF16</f>
        <v>60384.175125558322</v>
      </c>
      <c r="AG25" s="14">
        <f>-(S25+N25)</f>
        <v>18671.417034441678</v>
      </c>
      <c r="AH25" s="14"/>
    </row>
    <row r="28" spans="3:34" x14ac:dyDescent="0.35">
      <c r="X28" s="95"/>
    </row>
    <row r="29" spans="3:34" x14ac:dyDescent="0.35">
      <c r="X29" s="95"/>
    </row>
    <row r="30" spans="3:34" x14ac:dyDescent="0.35">
      <c r="X30" s="95"/>
    </row>
    <row r="31" spans="3:34" x14ac:dyDescent="0.35">
      <c r="E31" s="40"/>
    </row>
  </sheetData>
  <pageMargins left="0.7" right="0.7" top="0.75" bottom="0.75" header="0.3" footer="0.3"/>
  <pageSetup paperSize="9" orientation="portrait" horizontalDpi="4294967293" verticalDpi="4294967293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Ark17">
    <tabColor theme="9" tint="-0.499984740745262"/>
  </sheetPr>
  <dimension ref="A1:K142"/>
  <sheetViews>
    <sheetView zoomScale="82" zoomScaleNormal="82" workbookViewId="0">
      <pane ySplit="1" topLeftCell="A76" activePane="bottomLeft" state="frozen"/>
      <selection pane="bottomLeft" activeCell="L94" sqref="L94"/>
    </sheetView>
  </sheetViews>
  <sheetFormatPr defaultRowHeight="14.5" x14ac:dyDescent="0.35"/>
  <cols>
    <col min="1" max="1" width="70" customWidth="1"/>
    <col min="2" max="2" width="9.7265625" customWidth="1"/>
    <col min="10" max="10" width="17.26953125" customWidth="1"/>
    <col min="11" max="11" width="13.7265625" customWidth="1"/>
  </cols>
  <sheetData>
    <row r="1" spans="1:11" ht="16.5" customHeight="1" x14ac:dyDescent="0.35">
      <c r="A1" t="s">
        <v>128</v>
      </c>
      <c r="B1" s="76">
        <f>(('China 1995'!$B12+'China 1995'!$B13+'China 1995'!$B14+'China 1995'!$B20-'China 1995'!$B22+'China 1995'!$B30)*Emissionsfaktorer!$B2*-1+('China 1995'!$D22-'China 1995'!$D30-'China 1995'!$D12-'China 1995'!$D13-'China 1995'!$D14-'China 1995'!$D20)*Emissionsfaktorer!$B4+('China 1995'!$E12+'China 1995'!$E13+'China 1995'!$E14+'China 1995'!$E20-'China 1995'!$E22+'China 1995'!$E30)*Emissionsfaktorer!$B5*-1)*0.041872</f>
        <v>2924.4164776799998</v>
      </c>
      <c r="C1" s="76">
        <f>(('China 2000'!$B12+'China 2000'!$B13+'China 2000'!$B14+'China 2000'!$B20-'China 2000'!$B22+'China 2000'!$B30)*Emissionsfaktorer!$B2*-1+('China 2000'!$D22-'China 2000'!$D30-'China 2000'!$D12-'China 2000'!$D13-'China 2000'!$D14-'China 2000'!$D20)*Emissionsfaktorer!$B4+('China 2000'!$E12+'China 2000'!$E13+'China 2000'!$E14+'China 2000'!$E20-'China 2000'!$E22+'China 2000'!$E30)*Emissionsfaktorer!$B5*-1)*0.041872</f>
        <v>3112.0949467199998</v>
      </c>
      <c r="D1" s="76">
        <f>(('China 2005'!$B12+'China 2005'!$B13+'China 2005'!$B14+'China 2005'!$B20-'China 2005'!$B22+'China 2005'!$B30)*Emissionsfaktorer!$B2*-1+('China 2005'!$D22-'China 2005'!$D30-'China 2005'!$D12-'China 2005'!$D13-'China 2005'!$D14-'China 2005'!$D20)*Emissionsfaktorer!$B4+('China 2005'!$E12+'China 2005'!$E13+'China 2005'!$E14+'China 2005'!$E20-'China 2005'!$E22+'China 2005'!$E30)*Emissionsfaktorer!$B5*-1)*0.041872</f>
        <v>5363.6772908960002</v>
      </c>
      <c r="E1" s="76">
        <f>(('China 2010'!$B12+'China 2010'!$B13+'China 2010'!$B14+'China 2010'!$B20-'China 2010'!$B22+'China 2010'!$B30)*Emissionsfaktorer!$B2*-1+('China 2010'!$D22-'China 2010'!$D30-'China 2010'!$D12-'China 2010'!$D13-'China 2010'!$D14-'China 2010'!$D20)*Emissionsfaktorer!$B4+('China 2010'!$E12+'China 2010'!$E13+'China 2010'!$E14+'China 2010'!$E20-'China 2010'!$E22+'China 2010'!$E30)*Emissionsfaktorer!$B5*-1)*0.041872</f>
        <v>7609.2037714560001</v>
      </c>
      <c r="F1" s="76">
        <f>(('China 2015'!$B12+'China 2015'!$B13+'China 2015'!$B14+'China 2015'!$B20-'China 2015'!$B22+'China 2015'!$B30)*Emissionsfaktorer!$B2*-1+('China 2015'!$D22-'China 2015'!$D30-'China 2015'!$D12-'China 2015'!$D13-'China 2015'!$D14-'China 2015'!$D20)*Emissionsfaktorer!$B4+('China 2015'!$E12+'China 2015'!$E13+'China 2015'!$E14+'China 2015'!$E20-'China 2015'!$E22+'China 2015'!$E30)*Emissionsfaktorer!$B5*-1)*0.041872</f>
        <v>8730.5783477919995</v>
      </c>
      <c r="G1" s="76">
        <f>(('China 2018'!$B12+'China 2018'!$B13+'China 2018'!$B14+'China 2018'!$B20-'China 2018'!$B22+'China 2018'!$B30)*Emissionsfaktorer!$B2*-1+('China 2018'!$D22-'China 2018'!$D30-'China 2018'!$D12-'China 2018'!$D13-'China 2018'!$D14-'China 2018'!$D20)*Emissionsfaktorer!$B4+('China 2018'!$E12+'China 2018'!$E13+'China 2018'!$E14+'China 2018'!$E20-'China 2018'!$E22+'China 2018'!$E30)*Emissionsfaktorer!$B5*-1)*0.041872</f>
        <v>9107.7579321600006</v>
      </c>
      <c r="H1" s="83">
        <f>'BL China 2030'!AH8+'BL China 2030'!AH16</f>
        <v>9164.4891828209966</v>
      </c>
      <c r="I1" s="83">
        <f>'BL China 2050'!AH8+'BL China 2050'!AH16</f>
        <v>9164.4891828209966</v>
      </c>
    </row>
    <row r="2" spans="1:11" ht="16.5" customHeight="1" x14ac:dyDescent="0.35">
      <c r="B2" s="76">
        <f>' KF Middle East'!B1+' KF Africa'!B1+' KF China'!B1+' KF Asia excluding China'!B1+' KF Non-OECD Americas'!B1+' KF Non-OECD Europe Eurasia '!B1+' KF OECD Europe'!B1+' KF OECD Asia Oceania'!B1+' KF OECD Americas'!B1</f>
        <v>20512.548212767997</v>
      </c>
      <c r="C2" s="76">
        <f>' KF Middle East'!C1+' KF Africa'!C1+' KF China'!C1+' KF Asia excluding China'!C1+' KF Non-OECD Americas'!C1+' KF Non-OECD Europe Eurasia '!C1+' KF OECD Europe'!C1+' KF OECD Asia Oceania'!C1+' KF OECD Americas'!C1</f>
        <v>22293.933162016001</v>
      </c>
      <c r="D2" s="76">
        <f>' KF Middle East'!D1+' KF Africa'!D1+' KF China'!D1+' KF Asia excluding China'!D1+' KF Non-OECD Americas'!D1+' KF Non-OECD Europe Eurasia '!D1+' KF OECD Europe'!D1+' KF OECD Asia Oceania'!D1+' KF OECD Americas'!D1</f>
        <v>25992.162037168</v>
      </c>
      <c r="E2" s="76">
        <f>' KF Middle East'!E1+' KF Africa'!E1+' KF China'!E1+' KF Asia excluding China'!E1+' KF Non-OECD Americas'!E1+' KF Non-OECD Europe Eurasia '!E1+' KF OECD Europe'!E1+' KF OECD Asia Oceania'!E1+' KF OECD Americas'!E1</f>
        <v>29123.978319039998</v>
      </c>
      <c r="F2" s="76">
        <f>' KF Middle East'!F1+' KF Africa'!F1+' KF China'!F1+' KF Asia excluding China'!F1+' KF Non-OECD Americas'!F1+' KF Non-OECD Europe Eurasia '!F1+' KF OECD Europe'!F1+' KF OECD Asia Oceania'!F1+' KF OECD Americas'!F1</f>
        <v>30670.019138096002</v>
      </c>
      <c r="G2" s="76">
        <f>' KF Middle East'!G1+' KF Africa'!G1+' KF China'!G1+' KF Asia excluding China'!G1+' KF Non-OECD Americas'!G1+' KF Non-OECD Europe Eurasia '!G1+' KF OECD Europe'!G1+' KF OECD Asia Oceania'!G1+' KF OECD Americas'!G1</f>
        <v>31652.588578768002</v>
      </c>
      <c r="H2" s="101">
        <f>' KF Middle East'!H1+' KF Africa'!H1+' KF China'!H1+' KF Asia excluding China'!H1+' KF Non-OECD Americas'!H1+' KF Non-OECD Europe Eurasia '!H1+' KF OECD Europe'!H1+' KF OECD Asia Oceania'!H1+' KF OECD Americas'!H1</f>
        <v>31634.759971648018</v>
      </c>
      <c r="I2" s="101">
        <f>' KF Middle East'!I1+' KF Africa'!I1+' KF China'!I1+' KF Asia excluding China'!I1+' KF Non-OECD Americas'!I1+' KF Non-OECD Europe Eurasia '!I1+' KF OECD Europe'!I1+' KF OECD Asia Oceania'!I1+' KF OECD Americas'!I1</f>
        <v>31634.759971648018</v>
      </c>
      <c r="J2" t="s">
        <v>129</v>
      </c>
    </row>
    <row r="3" spans="1:11" ht="16.5" customHeight="1" x14ac:dyDescent="0.35">
      <c r="B3" s="117" t="s">
        <v>130</v>
      </c>
      <c r="C3" s="117"/>
      <c r="D3" s="117"/>
      <c r="E3" s="117"/>
      <c r="F3" s="117"/>
      <c r="G3" s="117"/>
      <c r="H3" s="117"/>
      <c r="I3" s="117"/>
    </row>
    <row r="4" spans="1:11" ht="15" customHeight="1" x14ac:dyDescent="0.35">
      <c r="B4" s="41">
        <v>1995</v>
      </c>
      <c r="C4" s="114">
        <v>2000</v>
      </c>
      <c r="D4" s="114">
        <v>2005</v>
      </c>
      <c r="E4" s="114">
        <v>2010</v>
      </c>
      <c r="F4" s="114">
        <v>2015</v>
      </c>
      <c r="G4" s="114">
        <v>2018</v>
      </c>
      <c r="H4" s="35">
        <v>2030</v>
      </c>
      <c r="I4" s="35">
        <v>2050</v>
      </c>
    </row>
    <row r="5" spans="1:11" x14ac:dyDescent="0.35">
      <c r="A5" s="30" t="s">
        <v>131</v>
      </c>
      <c r="B5" s="7">
        <f>('China 1995'!$L22-'China 1995'!$L30)*0.041872*-1</f>
        <v>-31320.925952000001</v>
      </c>
      <c r="C5" s="7">
        <f>('China 2000'!$L22-'China 2000'!$L30)*0.041872*-1</f>
        <v>-30702.727744</v>
      </c>
      <c r="D5" s="7">
        <f>('China 2005'!$L22-'China 2005'!$L30)*0.041872*-1</f>
        <v>-48105.819616000001</v>
      </c>
      <c r="E5" s="7">
        <f>('China 2010'!$L22-'China 2010'!$L30)*0.041872*-1</f>
        <v>-64505.365264</v>
      </c>
      <c r="F5" s="7">
        <f>('China 2015'!$L22-'China 2015'!$L30)*0.041872*-1</f>
        <v>-75752.142592000004</v>
      </c>
      <c r="G5" s="7">
        <f>('China 2018'!$L22-'China 2018'!$L30)*0.041872*-1</f>
        <v>-79055.59216</v>
      </c>
      <c r="H5" s="79">
        <f>G5</f>
        <v>-79055.59216</v>
      </c>
      <c r="I5" s="79">
        <f>H5</f>
        <v>-79055.59216</v>
      </c>
      <c r="K5" s="34"/>
    </row>
    <row r="6" spans="1:11" x14ac:dyDescent="0.35">
      <c r="A6" s="31" t="s">
        <v>132</v>
      </c>
      <c r="B6" s="80"/>
      <c r="C6" s="80"/>
      <c r="D6" s="80"/>
      <c r="E6" s="80"/>
      <c r="F6" s="80"/>
      <c r="G6" s="80"/>
      <c r="H6" s="33"/>
      <c r="I6" s="33"/>
    </row>
    <row r="7" spans="1:11" x14ac:dyDescent="0.35">
      <c r="A7" s="30" t="s">
        <v>133</v>
      </c>
      <c r="B7" s="40">
        <f>('China 1995'!$L23/B$5*0.041872*-1)</f>
        <v>0.44288758529229316</v>
      </c>
      <c r="C7" s="40">
        <f>('China 2000'!$L23/C$5*0.041872*-1)</f>
        <v>0.41462553119527801</v>
      </c>
      <c r="D7" s="40">
        <f>('China 2005'!$L23/D$5*0.041872*-1)</f>
        <v>0.54134120420096821</v>
      </c>
      <c r="E7" s="40">
        <f>('China 2010'!$L23/E$5*0.041872*-1)</f>
        <v>0.60110338148321008</v>
      </c>
      <c r="F7" s="40">
        <f>('China 2015'!$L23/F$5*0.041872*-1)</f>
        <v>0.56235352123886762</v>
      </c>
      <c r="G7" s="40">
        <f>('China 2018'!$L23/G$5*0.041872*-1)</f>
        <v>0.52841956960429659</v>
      </c>
      <c r="H7" s="77">
        <f t="shared" ref="H7:I68" si="0">G7</f>
        <v>0.52841956960429659</v>
      </c>
      <c r="I7" s="77">
        <f>H7</f>
        <v>0.52841956960429659</v>
      </c>
    </row>
    <row r="8" spans="1:11" x14ac:dyDescent="0.35">
      <c r="A8" s="30" t="s">
        <v>134</v>
      </c>
      <c r="B8" s="40">
        <f>'China 1995'!$L24/B$5*0.041872*-1</f>
        <v>6.0577581228209026E-2</v>
      </c>
      <c r="C8" s="40">
        <f>'China 2000'!$L24/C$5*0.041872*-1</f>
        <v>0.11918958284464277</v>
      </c>
      <c r="D8" s="40">
        <f>'China 2005'!$L24/D$5*0.041872*-1</f>
        <v>0.11932163380271882</v>
      </c>
      <c r="E8" s="40">
        <f>'China 2010'!$L24/E$5*0.041872*-1</f>
        <v>0.12936787626652266</v>
      </c>
      <c r="F8" s="40">
        <f>'China 2015'!$L24/F$5*0.041872*-1</f>
        <v>0.1612736687567988</v>
      </c>
      <c r="G8" s="40">
        <f>'China 2018'!$L24/G$5*0.041872*-1</f>
        <v>0.17332086884212644</v>
      </c>
      <c r="H8" s="77">
        <f t="shared" si="0"/>
        <v>0.17332086884212644</v>
      </c>
      <c r="I8" s="77">
        <f t="shared" si="0"/>
        <v>0.17332086884212644</v>
      </c>
    </row>
    <row r="9" spans="1:11" x14ac:dyDescent="0.35">
      <c r="A9" s="30" t="s">
        <v>135</v>
      </c>
      <c r="B9" s="40">
        <f>'China 1995'!$L25/B$5*0.041872*-1</f>
        <v>0.39563993283566129</v>
      </c>
      <c r="C9" s="40">
        <f>'China 2000'!$L25/C$5*0.041872*-1</f>
        <v>0.38026081074446438</v>
      </c>
      <c r="D9" s="40">
        <f>'China 2005'!$L25/D$5*0.041872*-1</f>
        <v>0.24975584874982373</v>
      </c>
      <c r="E9" s="40">
        <f>'China 2010'!$L25/E$5*0.041872*-1</f>
        <v>0.18282520965092042</v>
      </c>
      <c r="F9" s="40">
        <f>'China 2015'!$L25/F$5*0.041872*-1</f>
        <v>0.17450042451203224</v>
      </c>
      <c r="G9" s="40">
        <f>'China 2018'!$L25/G$5*0.041872*-1</f>
        <v>0.18363744220165992</v>
      </c>
      <c r="H9" s="89">
        <f>1-H7-H8-H10-H11-H12-H13</f>
        <v>0.18363797185426076</v>
      </c>
      <c r="I9" s="89">
        <f>1-I7-I8-I10-I11-I12-I13</f>
        <v>0.18363797185426076</v>
      </c>
    </row>
    <row r="10" spans="1:11" x14ac:dyDescent="0.35">
      <c r="A10" s="30" t="s">
        <v>136</v>
      </c>
      <c r="B10" s="40">
        <f>'China 1995'!$L26/B$5*0.041872*-1</f>
        <v>3.356479005796667E-2</v>
      </c>
      <c r="C10" s="40">
        <f>'China 2000'!$L26/C$5*0.041872*-1</f>
        <v>3.5394380103975172E-2</v>
      </c>
      <c r="D10" s="40">
        <f>'China 2005'!$L26/D$5*0.041872*-1</f>
        <v>3.5746180186233871E-2</v>
      </c>
      <c r="E10" s="40">
        <f>'China 2010'!$L26/E$5*0.041872*-1</f>
        <v>3.7607665379020432E-2</v>
      </c>
      <c r="F10" s="40">
        <f>'China 2015'!$L26/F$5*0.041872*-1</f>
        <v>4.5236510687974803E-2</v>
      </c>
      <c r="G10" s="40">
        <f>'China 2018'!$L26/G$5*0.041872*-1</f>
        <v>5.0296870282781528E-2</v>
      </c>
      <c r="H10" s="88">
        <f t="shared" si="0"/>
        <v>5.0296870282781528E-2</v>
      </c>
      <c r="I10" s="88">
        <f t="shared" si="0"/>
        <v>5.0296870282781528E-2</v>
      </c>
    </row>
    <row r="11" spans="1:11" x14ac:dyDescent="0.35">
      <c r="A11" s="30" t="s">
        <v>137</v>
      </c>
      <c r="B11" s="40">
        <f>'China 1995'!$L27/B$5*0.041872*-1</f>
        <v>4.5491005539988444E-2</v>
      </c>
      <c r="C11" s="40">
        <f>'China 2000'!$L27/C$5*0.041872*-1</f>
        <v>2.5430547751659732E-2</v>
      </c>
      <c r="D11" s="40">
        <f>'China 2005'!$L27/D$5*0.041872*-1</f>
        <v>2.7297067225588792E-2</v>
      </c>
      <c r="E11" s="40">
        <f>'China 2010'!$L27/E$5*0.041872*-1</f>
        <v>2.2224717744526747E-2</v>
      </c>
      <c r="F11" s="40">
        <f>'China 2015'!$L27/F$5*0.041872*-1</f>
        <v>2.293415199299555E-2</v>
      </c>
      <c r="G11" s="40">
        <f>'China 2018'!$L27/G$5*0.041872*-1</f>
        <v>2.39424161692346E-2</v>
      </c>
      <c r="H11" s="88">
        <f t="shared" si="0"/>
        <v>2.39424161692346E-2</v>
      </c>
      <c r="I11" s="88">
        <f t="shared" si="0"/>
        <v>2.39424161692346E-2</v>
      </c>
    </row>
    <row r="12" spans="1:11" x14ac:dyDescent="0.35">
      <c r="A12" s="30" t="s">
        <v>138</v>
      </c>
      <c r="B12" s="40">
        <f>'China 1995'!$L28/B$5*0.041872*-1</f>
        <v>0</v>
      </c>
      <c r="C12" s="40">
        <f>'China 2000'!$L28/C$5*0.041872*-1</f>
        <v>0</v>
      </c>
      <c r="D12" s="40">
        <f>'China 2005'!$L28/D$5*0.041872*-1</f>
        <v>0</v>
      </c>
      <c r="E12" s="40">
        <f>'China 2010'!$L28/E$5*0.041872*-1</f>
        <v>0</v>
      </c>
      <c r="F12" s="40">
        <f>'China 2015'!$L28/F$5*0.041872*-1</f>
        <v>0</v>
      </c>
      <c r="G12" s="40">
        <f>'China 2018'!$L28/G$5*0.041872*-1</f>
        <v>0</v>
      </c>
      <c r="H12" s="88">
        <f t="shared" si="0"/>
        <v>0</v>
      </c>
      <c r="I12" s="88">
        <f t="shared" si="0"/>
        <v>0</v>
      </c>
    </row>
    <row r="13" spans="1:11" x14ac:dyDescent="0.35">
      <c r="A13" s="30" t="s">
        <v>139</v>
      </c>
      <c r="B13" s="40">
        <f>'China 1995'!$L29/B$5*0.041872*-1</f>
        <v>2.1839105045881369E-2</v>
      </c>
      <c r="C13" s="40">
        <f>'China 2000'!$L29/C$5*0.041872*-1</f>
        <v>2.5099147359979927E-2</v>
      </c>
      <c r="D13" s="40">
        <f>'China 2005'!$L29/D$5*0.041872*-1</f>
        <v>2.6538936249105648E-2</v>
      </c>
      <c r="E13" s="40">
        <f>'China 2010'!$L29/E$5*0.041872*-1</f>
        <v>2.6871798600098536E-2</v>
      </c>
      <c r="F13" s="40">
        <f>'China 2015'!$L29/F$5*0.041872*-1</f>
        <v>3.3701170061288928E-2</v>
      </c>
      <c r="G13" s="40">
        <f>'China 2018'!$L29/G$5*0.041872*-1</f>
        <v>4.0382303247300098E-2</v>
      </c>
      <c r="H13" s="88">
        <f t="shared" si="0"/>
        <v>4.0382303247300098E-2</v>
      </c>
      <c r="I13" s="88">
        <f t="shared" si="0"/>
        <v>4.0382303247300098E-2</v>
      </c>
    </row>
    <row r="14" spans="1:11" x14ac:dyDescent="0.35">
      <c r="A14" s="31" t="s">
        <v>140</v>
      </c>
      <c r="B14" s="81"/>
      <c r="C14" s="81"/>
      <c r="D14" s="81"/>
      <c r="E14" s="81"/>
      <c r="F14" s="81"/>
      <c r="G14" s="81"/>
      <c r="H14" s="42"/>
      <c r="I14" s="42"/>
    </row>
    <row r="15" spans="1:11" x14ac:dyDescent="0.35">
      <c r="A15" s="30" t="s">
        <v>141</v>
      </c>
      <c r="B15" s="40">
        <f>'China 1995'!$B23/'China 1995'!$L23</f>
        <v>0.72404289935916588</v>
      </c>
      <c r="C15" s="40">
        <f>'China 2000'!$B23/'China 2000'!$L23</f>
        <v>0.62021215360578896</v>
      </c>
      <c r="D15" s="40">
        <f>'China 2005'!$B23/'China 2005'!$L23</f>
        <v>0.67465410372466572</v>
      </c>
      <c r="E15" s="40">
        <f>'China 2010'!$B23/'China 2010'!$L23</f>
        <v>0.6308154665871869</v>
      </c>
      <c r="F15" s="40">
        <f>'China 2015'!$B23/'China 2015'!$L23</f>
        <v>0.58919433757890416</v>
      </c>
      <c r="G15" s="40">
        <f>'China 2018'!$B23/'China 2018'!$L23</f>
        <v>0.49672637901033606</v>
      </c>
      <c r="H15" s="77">
        <f t="shared" si="0"/>
        <v>0.49672637901033606</v>
      </c>
      <c r="I15" s="77">
        <f t="shared" si="0"/>
        <v>0.49672637901033606</v>
      </c>
    </row>
    <row r="16" spans="1:11" x14ac:dyDescent="0.35">
      <c r="A16" s="30" t="s">
        <v>142</v>
      </c>
      <c r="B16" s="40">
        <f>'China 1995'!$C23/'China 1995'!$L23</f>
        <v>2.2608795394929472E-3</v>
      </c>
      <c r="C16" s="40">
        <f>'China 2000'!$C23/'China 2000'!$L23</f>
        <v>4.0555875339199077E-3</v>
      </c>
      <c r="D16" s="40">
        <f>'China 2005'!$C23/'China 2005'!$L23</f>
        <v>3.9972022799810271E-3</v>
      </c>
      <c r="E16" s="40">
        <f>'China 2010'!$C23/'China 2010'!$L23</f>
        <v>1.8206910850930107E-3</v>
      </c>
      <c r="F16" s="40">
        <f>'China 2015'!$C23/'China 2015'!$L23</f>
        <v>2.0307183002514317E-3</v>
      </c>
      <c r="G16" s="40">
        <f>'China 2018'!$C23/'China 2018'!$L23</f>
        <v>5.3725071967540431E-4</v>
      </c>
      <c r="H16" s="77">
        <f t="shared" si="0"/>
        <v>5.3725071967540431E-4</v>
      </c>
      <c r="I16" s="77">
        <f t="shared" si="0"/>
        <v>5.3725071967540431E-4</v>
      </c>
    </row>
    <row r="17" spans="1:9" x14ac:dyDescent="0.35">
      <c r="A17" s="30" t="s">
        <v>143</v>
      </c>
      <c r="B17" s="40">
        <f>'China 1995'!$D23/'China 1995'!$L23</f>
        <v>7.3389538376090815E-2</v>
      </c>
      <c r="C17" s="40">
        <f>'China 2000'!$D23/'China 2000'!$L23</f>
        <v>0.10295863826987912</v>
      </c>
      <c r="D17" s="40">
        <f>'China 2005'!$D23/'China 2005'!$L23</f>
        <v>6.8875364788924892E-2</v>
      </c>
      <c r="E17" s="40">
        <f>'China 2010'!$D23/'China 2010'!$L23</f>
        <v>6.4192859348913958E-2</v>
      </c>
      <c r="F17" s="40">
        <f>'China 2015'!$D23/'China 2015'!$L23</f>
        <v>4.4203016786353889E-2</v>
      </c>
      <c r="G17" s="40">
        <f>'China 2018'!$D23/'China 2018'!$L23</f>
        <v>4.5787593517709224E-2</v>
      </c>
      <c r="H17" s="77">
        <f t="shared" si="0"/>
        <v>4.5787593517709224E-2</v>
      </c>
      <c r="I17" s="77">
        <f t="shared" si="0"/>
        <v>4.5787593517709224E-2</v>
      </c>
    </row>
    <row r="18" spans="1:9" x14ac:dyDescent="0.35">
      <c r="A18" s="30" t="s">
        <v>241</v>
      </c>
      <c r="B18" s="40">
        <f>'China 1995'!$E23/'China 1995'!$L23</f>
        <v>1.243332820183104E-2</v>
      </c>
      <c r="C18" s="40">
        <f>'China 2000'!$E23/'China 2000'!$L23</f>
        <v>1.3863991448071704E-2</v>
      </c>
      <c r="D18" s="40">
        <f>'China 2005'!$E23/'China 2005'!$L23</f>
        <v>1.7505044739402027E-2</v>
      </c>
      <c r="E18" s="40">
        <f>'China 2010'!$E23/'China 2010'!$L23</f>
        <v>3.7467792341866611E-2</v>
      </c>
      <c r="F18" s="40">
        <f>'China 2015'!$E23/'China 2015'!$L23</f>
        <v>3.7691153892275606E-2</v>
      </c>
      <c r="G18" s="40">
        <f>'China 2018'!$E23/'China 2018'!$L23</f>
        <v>6.5612746473790992E-2</v>
      </c>
      <c r="H18" s="77">
        <f t="shared" si="0"/>
        <v>6.5612746473790992E-2</v>
      </c>
      <c r="I18" s="77">
        <f t="shared" si="0"/>
        <v>6.5612746473790992E-2</v>
      </c>
    </row>
    <row r="19" spans="1:9" x14ac:dyDescent="0.35">
      <c r="A19" s="30" t="s">
        <v>145</v>
      </c>
      <c r="B19" s="40">
        <f>'China 1995'!$H23/'China 1995'!$L23</f>
        <v>1.2074123041350853E-4</v>
      </c>
      <c r="C19" s="40">
        <f>'China 2000'!$H23/'China 2000'!$L23</f>
        <v>2.2037661376531536E-4</v>
      </c>
      <c r="D19" s="40">
        <f>'China 2005'!$H23/'China 2005'!$L23</f>
        <v>1.5435696656403001E-4</v>
      </c>
      <c r="E19" s="40">
        <f>'China 2010'!$H23/'China 2010'!$L23</f>
        <v>1.6198319262393333E-4</v>
      </c>
      <c r="F19" s="40">
        <f>'China 2015'!$H23/'China 2015'!$L23</f>
        <v>3.5188632695547559E-4</v>
      </c>
      <c r="G19" s="40">
        <f>'China 2018'!$H23/'China 2018'!$L23</f>
        <v>4.8312471433497179E-4</v>
      </c>
      <c r="H19" s="77">
        <f t="shared" si="0"/>
        <v>4.8312471433497179E-4</v>
      </c>
      <c r="I19" s="77">
        <f t="shared" si="0"/>
        <v>4.8312471433497179E-4</v>
      </c>
    </row>
    <row r="20" spans="1:9" x14ac:dyDescent="0.35">
      <c r="A20" s="30" t="s">
        <v>146</v>
      </c>
      <c r="B20" s="40">
        <f>'China 1995'!$I23/'China 1995'!$L23</f>
        <v>0</v>
      </c>
      <c r="C20" s="40">
        <f>'China 2000'!$I23/'China 2000'!$L23</f>
        <v>0</v>
      </c>
      <c r="D20" s="40">
        <f>'China 2005'!$I23/'China 2005'!$L23</f>
        <v>0</v>
      </c>
      <c r="E20" s="40">
        <f>'China 2010'!$I23/'China 2010'!$L23</f>
        <v>0</v>
      </c>
      <c r="F20" s="40">
        <f>'China 2015'!$I23/'China 2015'!$L23</f>
        <v>0</v>
      </c>
      <c r="G20" s="40">
        <f>'China 2018'!$I23/'China 2018'!$L23</f>
        <v>0</v>
      </c>
      <c r="H20" s="77">
        <f t="shared" si="0"/>
        <v>0</v>
      </c>
      <c r="I20" s="77">
        <f t="shared" si="0"/>
        <v>0</v>
      </c>
    </row>
    <row r="21" spans="1:9" x14ac:dyDescent="0.35">
      <c r="A21" s="30" t="s">
        <v>147</v>
      </c>
      <c r="B21" s="40">
        <f>'China 1995'!$J23/'China 1995'!$L23</f>
        <v>0.14021377234844712</v>
      </c>
      <c r="C21" s="40">
        <f>'China 2000'!$J23/'China 2000'!$L23</f>
        <v>0.19655620425951814</v>
      </c>
      <c r="D21" s="40">
        <f>'China 2005'!$J23/'China 2005'!$L23</f>
        <v>0.18792156736636464</v>
      </c>
      <c r="E21" s="40">
        <f>'China 2010'!$J23/'China 2010'!$L23</f>
        <v>0.21968700527633253</v>
      </c>
      <c r="F21" s="40">
        <f>'China 2015'!$J23/'China 2015'!$L23</f>
        <v>0.27174863914352049</v>
      </c>
      <c r="G21" s="40">
        <f>'China 2018'!$J23/'China 2018'!$L23</f>
        <v>0.32133907737212231</v>
      </c>
      <c r="H21" s="89">
        <f>1-H15-H16-H17-H18-H19-H20-H22</f>
        <v>0.32134007970555462</v>
      </c>
      <c r="I21" s="89">
        <f>1-I15-I16-I17-I18-I19-I20-I22</f>
        <v>0.32134007970555462</v>
      </c>
    </row>
    <row r="22" spans="1:9" x14ac:dyDescent="0.35">
      <c r="A22" s="30" t="s">
        <v>148</v>
      </c>
      <c r="B22" s="40">
        <f>'China 1995'!$K23/'China 1995'!$L23</f>
        <v>4.7535822413798307E-2</v>
      </c>
      <c r="C22" s="40">
        <f>'China 2000'!$K23/'China 2000'!$L23</f>
        <v>6.2129759065866291E-2</v>
      </c>
      <c r="D22" s="40">
        <f>'China 2005'!$K23/'China 2005'!$L23</f>
        <v>4.6890752249029242E-2</v>
      </c>
      <c r="E22" s="40">
        <f>'China 2010'!$K23/'China 2010'!$L23</f>
        <v>4.5853122280032223E-2</v>
      </c>
      <c r="F22" s="40">
        <f>'China 2015'!$K23/'China 2015'!$L23</f>
        <v>5.4781230894440001E-2</v>
      </c>
      <c r="G22" s="40">
        <f>'China 2018'!$K23/'China 2018'!$L23</f>
        <v>6.9512825858598817E-2</v>
      </c>
      <c r="H22" s="77">
        <f t="shared" si="0"/>
        <v>6.9512825858598817E-2</v>
      </c>
      <c r="I22" s="77">
        <f t="shared" si="0"/>
        <v>6.9512825858598817E-2</v>
      </c>
    </row>
    <row r="23" spans="1:9" x14ac:dyDescent="0.35">
      <c r="A23" s="31" t="s">
        <v>149</v>
      </c>
      <c r="B23" s="81"/>
      <c r="C23" s="81"/>
      <c r="D23" s="81"/>
      <c r="E23" s="81"/>
      <c r="F23" s="81"/>
      <c r="G23" s="81"/>
      <c r="H23" s="42"/>
      <c r="I23" s="42"/>
    </row>
    <row r="24" spans="1:9" x14ac:dyDescent="0.35">
      <c r="A24" s="30" t="s">
        <v>141</v>
      </c>
      <c r="B24" s="40">
        <f>'China 1995'!$B24/'China 1995'!$L24</f>
        <v>6.4175843576898456E-2</v>
      </c>
      <c r="C24" s="40">
        <f>'China 2000'!$B24/'China 2000'!$L24</f>
        <v>5.3549361526843333E-3</v>
      </c>
      <c r="D24" s="40">
        <f>'China 2005'!$B24/'China 2005'!$L24</f>
        <v>7.2946909239455522E-6</v>
      </c>
      <c r="E24" s="40">
        <f>'China 2010'!$B24/'China 2010'!$L24</f>
        <v>0</v>
      </c>
      <c r="F24" s="40">
        <f>'China 2015'!$B24/'China 2015'!$L24</f>
        <v>1.0282212457928614E-5</v>
      </c>
      <c r="G24" s="40">
        <f>'China 2018'!$B24/'China 2018'!$L24</f>
        <v>6.111815667639464E-6</v>
      </c>
      <c r="H24" s="77">
        <f t="shared" si="0"/>
        <v>6.111815667639464E-6</v>
      </c>
      <c r="I24" s="77">
        <f t="shared" si="0"/>
        <v>6.111815667639464E-6</v>
      </c>
    </row>
    <row r="25" spans="1:9" x14ac:dyDescent="0.35">
      <c r="A25" s="30" t="s">
        <v>143</v>
      </c>
      <c r="B25" s="40">
        <f>'China 1995'!$D24/'China 1995'!$L24</f>
        <v>0.91748504844084477</v>
      </c>
      <c r="C25" s="40">
        <f>'China 2000'!$D24/'China 2000'!$L24</f>
        <v>0.97649778021877431</v>
      </c>
      <c r="D25" s="40">
        <f>'China 2005'!$D24/'China 2005'!$L24</f>
        <v>0.96386939585369769</v>
      </c>
      <c r="E25" s="40">
        <f>'China 2010'!$D24/'China 2010'!$L24</f>
        <v>0.92900008028259473</v>
      </c>
      <c r="F25" s="40">
        <f>'China 2015'!$D24/'China 2015'!$L24</f>
        <v>0.90649698731174988</v>
      </c>
      <c r="G25" s="40">
        <f>'China 2018'!$D24/'China 2018'!$L24</f>
        <v>0.88771677846196162</v>
      </c>
      <c r="H25" s="89">
        <f>1-H24-H26-H27-H28-H29-H30</f>
        <v>0.88771372255412773</v>
      </c>
      <c r="I25" s="89">
        <f>1-I24-I26-I27-I28-I29-I30</f>
        <v>0.88771372255412773</v>
      </c>
    </row>
    <row r="26" spans="1:9" x14ac:dyDescent="0.35">
      <c r="A26" s="30" t="s">
        <v>241</v>
      </c>
      <c r="B26" s="40">
        <f>'China 1995'!$E24/'China 1995'!$L24</f>
        <v>0</v>
      </c>
      <c r="C26" s="40">
        <f>'China 2000'!$E24/'China 2000'!$L24</f>
        <v>1.7735365462950249E-3</v>
      </c>
      <c r="D26" s="40">
        <f>'China 2005'!$E24/'China 2005'!$L24</f>
        <v>1.0774258494667581E-2</v>
      </c>
      <c r="E26" s="40">
        <f>'China 2010'!$E24/'China 2010'!$L24</f>
        <v>3.4531551059730249E-2</v>
      </c>
      <c r="F26" s="40">
        <f>'China 2015'!$E24/'China 2015'!$L24</f>
        <v>5.6918900762940164E-2</v>
      </c>
      <c r="G26" s="40">
        <f>'China 2018'!$E24/'China 2018'!$L24</f>
        <v>6.8052011551331615E-2</v>
      </c>
      <c r="H26" s="90">
        <f t="shared" si="0"/>
        <v>6.8052011551331615E-2</v>
      </c>
      <c r="I26" s="90">
        <f t="shared" si="0"/>
        <v>6.8052011551331615E-2</v>
      </c>
    </row>
    <row r="27" spans="1:9" x14ac:dyDescent="0.35">
      <c r="A27" s="30" t="s">
        <v>145</v>
      </c>
      <c r="B27" s="40">
        <f>'China 1995'!$H24/'China 1995'!$L24</f>
        <v>0</v>
      </c>
      <c r="C27" s="40">
        <f>'China 2000'!$H24/'China 2000'!$L24</f>
        <v>0</v>
      </c>
      <c r="D27" s="40">
        <f>'China 2005'!$H24/'China 2005'!$L24</f>
        <v>0</v>
      </c>
      <c r="E27" s="40">
        <f>'China 2010'!$H24/'China 2010'!$L24</f>
        <v>0</v>
      </c>
      <c r="F27" s="40">
        <f>'China 2015'!$H24/'China 2015'!$L24</f>
        <v>0</v>
      </c>
      <c r="G27" s="40">
        <f>'China 2018'!$H24/'China 2018'!$L24</f>
        <v>0</v>
      </c>
      <c r="H27" s="77">
        <f t="shared" si="0"/>
        <v>0</v>
      </c>
      <c r="I27" s="77">
        <f t="shared" si="0"/>
        <v>0</v>
      </c>
    </row>
    <row r="28" spans="1:9" x14ac:dyDescent="0.35">
      <c r="A28" s="30" t="s">
        <v>146</v>
      </c>
      <c r="B28" s="40">
        <f>'China 1995'!$I24/'China 1995'!$L24</f>
        <v>0</v>
      </c>
      <c r="C28" s="40">
        <f>'China 2000'!$I24/'China 2000'!$L24</f>
        <v>0</v>
      </c>
      <c r="D28" s="40">
        <f>'China 2005'!$I24/'China 2005'!$L24</f>
        <v>5.0843995739900498E-3</v>
      </c>
      <c r="E28" s="40">
        <f>'China 2010'!$I24/'China 2010'!$L24</f>
        <v>8.7056438664097624E-3</v>
      </c>
      <c r="F28" s="40">
        <f>'China 2015'!$I24/'China 2015'!$L24</f>
        <v>7.4751684569141028E-3</v>
      </c>
      <c r="G28" s="40">
        <f>'China 2018'!$I24/'China 2018'!$L24</f>
        <v>7.0622030039574008E-3</v>
      </c>
      <c r="H28" s="77">
        <f t="shared" si="0"/>
        <v>7.0622030039574008E-3</v>
      </c>
      <c r="I28" s="77">
        <f t="shared" si="0"/>
        <v>7.0622030039574008E-3</v>
      </c>
    </row>
    <row r="29" spans="1:9" x14ac:dyDescent="0.35">
      <c r="A29" s="30" t="s">
        <v>147</v>
      </c>
      <c r="B29" s="40">
        <f>'China 1995'!$J24/'China 1995'!$L24</f>
        <v>1.8339107982256748E-2</v>
      </c>
      <c r="C29" s="40">
        <f>'China 2000'!$J24/'China 2000'!$L24</f>
        <v>1.6373747082246325E-2</v>
      </c>
      <c r="D29" s="40">
        <f>'China 2005'!$J24/'China 2005'!$L24</f>
        <v>2.0271946077644692E-2</v>
      </c>
      <c r="E29" s="40">
        <f>'China 2010'!$J24/'China 2010'!$L24</f>
        <v>2.7762724791265254E-2</v>
      </c>
      <c r="F29" s="40">
        <f>'China 2015'!$J24/'China 2015'!$L24</f>
        <v>2.9102088660090619E-2</v>
      </c>
      <c r="G29" s="40">
        <f>'China 2018'!$J24/'China 2018'!$L24</f>
        <v>3.7165951074915583E-2</v>
      </c>
      <c r="H29" s="77">
        <f>G29</f>
        <v>3.7165951074915583E-2</v>
      </c>
      <c r="I29" s="77">
        <f t="shared" si="0"/>
        <v>3.7165951074915583E-2</v>
      </c>
    </row>
    <row r="30" spans="1:9" x14ac:dyDescent="0.35">
      <c r="A30" s="30" t="s">
        <v>148</v>
      </c>
      <c r="B30" s="40">
        <f>'China 1995'!$K24/'China 1995'!$L24</f>
        <v>0</v>
      </c>
      <c r="C30" s="40">
        <f>'China 2000'!$K24/'China 2000'!$L24</f>
        <v>0</v>
      </c>
      <c r="D30" s="40">
        <f>'China 2005'!$K24/'China 2005'!$L24</f>
        <v>0</v>
      </c>
      <c r="E30" s="40">
        <f>'China 2010'!$K24/'China 2010'!$L24</f>
        <v>0</v>
      </c>
      <c r="F30" s="40">
        <f>'China 2015'!$K24/'China 2015'!$L24</f>
        <v>0</v>
      </c>
      <c r="G30" s="40">
        <f>'China 2018'!$K24/'China 2018'!$L24</f>
        <v>0</v>
      </c>
      <c r="H30" s="77">
        <f t="shared" si="0"/>
        <v>0</v>
      </c>
      <c r="I30" s="77">
        <f t="shared" si="0"/>
        <v>0</v>
      </c>
    </row>
    <row r="31" spans="1:9" x14ac:dyDescent="0.35">
      <c r="A31" s="31" t="s">
        <v>150</v>
      </c>
      <c r="B31" s="81"/>
      <c r="C31" s="81"/>
      <c r="D31" s="81"/>
      <c r="E31" s="81"/>
      <c r="F31" s="81"/>
      <c r="G31" s="81"/>
      <c r="H31" s="42"/>
      <c r="I31" s="42"/>
    </row>
    <row r="32" spans="1:9" x14ac:dyDescent="0.35">
      <c r="A32" s="30" t="s">
        <v>141</v>
      </c>
      <c r="B32" s="40">
        <f>'China 1995'!$B$25/'China 1995'!$L$25</f>
        <v>0.23698322323404686</v>
      </c>
      <c r="C32" s="40">
        <f>'China 2000'!$B$25/'China 2000'!$L$25</f>
        <v>0.16684539158689796</v>
      </c>
      <c r="D32" s="40">
        <f>'China 2005'!$B$25/'China 2005'!$L$25</f>
        <v>0.18985568361219632</v>
      </c>
      <c r="E32" s="40">
        <f>'China 2010'!$B$25/'China 2010'!$L$25</f>
        <v>0.17911655997358414</v>
      </c>
      <c r="F32" s="40">
        <f>'China 2015'!$B$25/'China 2015'!$L$25</f>
        <v>0.15579910990037854</v>
      </c>
      <c r="G32" s="40">
        <f>'China 2018'!$B$25/'China 2018'!$L$25</f>
        <v>0.13073925696469413</v>
      </c>
      <c r="H32" s="77">
        <f t="shared" si="0"/>
        <v>0.13073925696469413</v>
      </c>
      <c r="I32" s="77">
        <f t="shared" si="0"/>
        <v>0.13073925696469413</v>
      </c>
    </row>
    <row r="33" spans="1:9" x14ac:dyDescent="0.35">
      <c r="A33" s="30" t="s">
        <v>143</v>
      </c>
      <c r="B33" s="40">
        <f>'China 1995'!$D$25/'China 1995'!$L$25</f>
        <v>2.4629576441568535E-2</v>
      </c>
      <c r="C33" s="40">
        <f>'China 2000'!$D$25/'China 2000'!$L$25</f>
        <v>4.2994401546478642E-2</v>
      </c>
      <c r="D33" s="40">
        <f>'China 2005'!$D$25/'China 2005'!$L$25</f>
        <v>6.380450200216771E-2</v>
      </c>
      <c r="E33" s="40">
        <f>'China 2010'!$D$25/'China 2010'!$L$25</f>
        <v>8.0241719303104225E-2</v>
      </c>
      <c r="F33" s="40">
        <f>'China 2015'!$D$25/'China 2015'!$L$25</f>
        <v>0.11387256687625714</v>
      </c>
      <c r="G33" s="40">
        <f>'China 2018'!$D$25/'China 2018'!$L$25</f>
        <v>0.12655135515541674</v>
      </c>
      <c r="H33" s="77">
        <f t="shared" si="0"/>
        <v>0.12655135515541674</v>
      </c>
      <c r="I33" s="77">
        <f t="shared" si="0"/>
        <v>0.12655135515541674</v>
      </c>
    </row>
    <row r="34" spans="1:9" x14ac:dyDescent="0.35">
      <c r="A34" s="30" t="s">
        <v>241</v>
      </c>
      <c r="B34" s="40">
        <f>'China 1995'!$E$25/'China 1995'!$L$25</f>
        <v>6.3187416580783593E-3</v>
      </c>
      <c r="C34" s="40">
        <f>'China 2000'!$E$25/'China 2000'!$L$25</f>
        <v>1.0770119106112393E-2</v>
      </c>
      <c r="D34" s="40">
        <f>'China 2005'!$E$25/'China 2005'!$L$25</f>
        <v>2.4322242706637996E-2</v>
      </c>
      <c r="E34" s="40">
        <f>'China 2010'!$E$25/'China 2010'!$L$25</f>
        <v>6.8585366892834704E-2</v>
      </c>
      <c r="F34" s="40">
        <f>'China 2015'!$E$25/'China 2015'!$L$25</f>
        <v>9.6396838720917338E-2</v>
      </c>
      <c r="G34" s="40">
        <f>'China 2018'!$E$25/'China 2018'!$L$25</f>
        <v>0.11912157894281437</v>
      </c>
      <c r="H34" s="77">
        <f t="shared" si="0"/>
        <v>0.11912157894281437</v>
      </c>
      <c r="I34" s="77">
        <f t="shared" si="0"/>
        <v>0.11912157894281437</v>
      </c>
    </row>
    <row r="35" spans="1:9" x14ac:dyDescent="0.35">
      <c r="A35" s="30" t="s">
        <v>145</v>
      </c>
      <c r="B35" s="40">
        <f>'China 1995'!$H$25/'China 1995'!$L$25</f>
        <v>2.4531585260774806E-3</v>
      </c>
      <c r="C35" s="40">
        <f>'China 2000'!$H$25/'China 2000'!$L$25</f>
        <v>5.9535123929892013E-3</v>
      </c>
      <c r="D35" s="40">
        <f>'China 2005'!$H$25/'China 2005'!$L$25</f>
        <v>1.2748354179808252E-2</v>
      </c>
      <c r="E35" s="40">
        <f>'China 2010'!$H$25/'China 2010'!$L$25</f>
        <v>3.3328717659214128E-2</v>
      </c>
      <c r="F35" s="40">
        <f>'China 2015'!$H$25/'China 2015'!$L$25</f>
        <v>7.4590981802055784E-2</v>
      </c>
      <c r="G35" s="40">
        <f>'China 2018'!$H$25/'China 2018'!$L$25</f>
        <v>7.6795505216129767E-2</v>
      </c>
      <c r="H35" s="77">
        <f t="shared" si="0"/>
        <v>7.6795505216129767E-2</v>
      </c>
      <c r="I35" s="77">
        <f t="shared" si="0"/>
        <v>7.6795505216129767E-2</v>
      </c>
    </row>
    <row r="36" spans="1:9" x14ac:dyDescent="0.35">
      <c r="A36" s="30" t="s">
        <v>146</v>
      </c>
      <c r="B36" s="40">
        <f>'China 1995'!$I$25/'China 1995'!$L$25</f>
        <v>0.68801635439017383</v>
      </c>
      <c r="C36" s="40">
        <f>'China 2000'!$I$25/'China 2000'!$L$25</f>
        <v>0.70600049493054828</v>
      </c>
      <c r="D36" s="40">
        <f>'China 2005'!$I$25/'China 2005'!$L$25</f>
        <v>0.57651626303848558</v>
      </c>
      <c r="E36" s="40">
        <f>'China 2010'!$I$25/'China 2010'!$L$25</f>
        <v>0.42177675049440971</v>
      </c>
      <c r="F36" s="40">
        <f>'China 2015'!$I$25/'China 2015'!$L$25</f>
        <v>0.27908582650976416</v>
      </c>
      <c r="G36" s="40">
        <f>'China 2018'!$I$25/'China 2018'!$L$25</f>
        <v>0.22291059175744779</v>
      </c>
      <c r="H36" s="77">
        <f t="shared" si="0"/>
        <v>0.22291059175744779</v>
      </c>
      <c r="I36" s="77">
        <f t="shared" si="0"/>
        <v>0.22291059175744779</v>
      </c>
    </row>
    <row r="37" spans="1:9" x14ac:dyDescent="0.35">
      <c r="A37" s="30" t="s">
        <v>147</v>
      </c>
      <c r="B37" s="40">
        <f>'China 1995'!$J$25/'China 1995'!$L$25</f>
        <v>3.1401104935038608E-2</v>
      </c>
      <c r="C37" s="40">
        <f>'China 2000'!$J$25/'China 2000'!$L$25</f>
        <v>4.7538437812693894E-2</v>
      </c>
      <c r="D37" s="40">
        <f>'China 2005'!$J$25/'China 2005'!$L$25</f>
        <v>8.9426672568037102E-2</v>
      </c>
      <c r="E37" s="40">
        <f>'China 2010'!$J$25/'China 2010'!$L$25</f>
        <v>0.15978753696977444</v>
      </c>
      <c r="F37" s="40">
        <f>'China 2015'!$J$25/'China 2015'!$L$25</f>
        <v>0.20925576901756443</v>
      </c>
      <c r="G37" s="40">
        <f>'China 2018'!$J$25/'China 2018'!$L$25</f>
        <v>0.24588925134044584</v>
      </c>
      <c r="H37" s="89">
        <f>1-H38-H36-H35-H34-H33-H32</f>
        <v>0.24588636711054968</v>
      </c>
      <c r="I37" s="89">
        <f>1-I38-I36-I35-I34-I33-I32</f>
        <v>0.24588636711054968</v>
      </c>
    </row>
    <row r="38" spans="1:9" x14ac:dyDescent="0.35">
      <c r="A38" s="30" t="s">
        <v>148</v>
      </c>
      <c r="B38" s="40">
        <f>'China 1995'!$K$25/'China 1995'!$L$25</f>
        <v>1.0197840815016304E-2</v>
      </c>
      <c r="C38" s="40">
        <f>'China 2000'!$K$25/'China 2000'!$L$25</f>
        <v>1.9901229077528358E-2</v>
      </c>
      <c r="D38" s="40">
        <f>'China 2005'!$K$25/'China 2005'!$L$25</f>
        <v>4.3319311770097478E-2</v>
      </c>
      <c r="E38" s="40">
        <f>'China 2010'!$K$25/'China 2010'!$L$25</f>
        <v>5.7166899225631902E-2</v>
      </c>
      <c r="F38" s="40">
        <f>'China 2015'!$K$25/'China 2015'!$L$25</f>
        <v>7.0998907173062606E-2</v>
      </c>
      <c r="G38" s="40">
        <f>'China 2018'!$K$25/'China 2018'!$L$25</f>
        <v>7.799534485294754E-2</v>
      </c>
      <c r="H38" s="88">
        <f t="shared" si="0"/>
        <v>7.799534485294754E-2</v>
      </c>
      <c r="I38" s="88">
        <f t="shared" si="0"/>
        <v>7.799534485294754E-2</v>
      </c>
    </row>
    <row r="39" spans="1:9" x14ac:dyDescent="0.35">
      <c r="A39" s="31" t="s">
        <v>151</v>
      </c>
      <c r="B39" s="81"/>
      <c r="C39" s="81"/>
      <c r="D39" s="81"/>
      <c r="E39" s="81"/>
      <c r="F39" s="81"/>
      <c r="G39" s="81"/>
      <c r="H39" s="42"/>
      <c r="I39" s="42"/>
    </row>
    <row r="40" spans="1:9" x14ac:dyDescent="0.35">
      <c r="A40" s="30" t="s">
        <v>141</v>
      </c>
      <c r="B40" s="40">
        <f>'China 1995'!$B$26/'China 1995'!$L$26</f>
        <v>0.35328792766957423</v>
      </c>
      <c r="C40" s="40">
        <f>'China 2000'!$B$26/'China 2000'!$L$26</f>
        <v>0.3198088852926444</v>
      </c>
      <c r="D40" s="40">
        <f>'China 2005'!$B$26/'China 2005'!$L$26</f>
        <v>0.34705853706048506</v>
      </c>
      <c r="E40" s="40">
        <f>'China 2010'!$B$26/'China 2010'!$L$26</f>
        <v>0.28743786246893122</v>
      </c>
      <c r="F40" s="40">
        <f>'China 2015'!$B$26/'China 2015'!$L$26</f>
        <v>0.24664279866567285</v>
      </c>
      <c r="G40" s="40">
        <f>'China 2018'!$B$26/'China 2018'!$L$26</f>
        <v>0.18030370042753943</v>
      </c>
      <c r="H40" s="77">
        <f t="shared" si="0"/>
        <v>0.18030370042753943</v>
      </c>
      <c r="I40" s="77">
        <f t="shared" si="0"/>
        <v>0.18030370042753943</v>
      </c>
    </row>
    <row r="41" spans="1:9" x14ac:dyDescent="0.35">
      <c r="A41" s="30" t="s">
        <v>143</v>
      </c>
      <c r="B41" s="40">
        <f>'China 1995'!$D$26/'China 1995'!$L$26</f>
        <v>0.42103795754172141</v>
      </c>
      <c r="C41" s="40">
        <f>'China 2000'!$D$26/'China 2000'!$L$26</f>
        <v>0.30543675104997497</v>
      </c>
      <c r="D41" s="40">
        <f>'China 2005'!$D$26/'China 2005'!$L$26</f>
        <v>0.23848251680140256</v>
      </c>
      <c r="E41" s="40">
        <f>'China 2010'!$D$26/'China 2010'!$L$26</f>
        <v>0.23097901132283899</v>
      </c>
      <c r="F41" s="40">
        <f>'China 2015'!$D$26/'China 2015'!$L$26</f>
        <v>0.19320861691858404</v>
      </c>
      <c r="G41" s="40">
        <f>'China 2018'!$D$26/'China 2018'!$L$26</f>
        <v>0.17256376234704407</v>
      </c>
      <c r="H41" s="77">
        <f t="shared" si="0"/>
        <v>0.17256376234704407</v>
      </c>
      <c r="I41" s="77">
        <f t="shared" si="0"/>
        <v>0.17256376234704407</v>
      </c>
    </row>
    <row r="42" spans="1:9" x14ac:dyDescent="0.35">
      <c r="A42" s="30" t="s">
        <v>241</v>
      </c>
      <c r="B42" s="40">
        <f>'China 1995'!$E$26/'China 1995'!$L$26</f>
        <v>1.6250448082208151E-2</v>
      </c>
      <c r="C42" s="40">
        <f>'China 2000'!$E$26/'China 2000'!$L$26</f>
        <v>2.9437829923322931E-2</v>
      </c>
      <c r="D42" s="40">
        <f>'China 2005'!$E$26/'China 2005'!$L$26</f>
        <v>7.3146975747540657E-2</v>
      </c>
      <c r="E42" s="40">
        <f>'China 2010'!$E$26/'China 2010'!$L$26</f>
        <v>0.10009320629660315</v>
      </c>
      <c r="F42" s="40">
        <f>'China 2015'!$E$26/'China 2015'!$L$26</f>
        <v>0.12716431041435014</v>
      </c>
      <c r="G42" s="40">
        <f>'China 2018'!$E$26/'China 2018'!$L$26</f>
        <v>0.15373517828183905</v>
      </c>
      <c r="H42" s="77">
        <f t="shared" si="0"/>
        <v>0.15373517828183905</v>
      </c>
      <c r="I42" s="77">
        <f t="shared" si="0"/>
        <v>0.15373517828183905</v>
      </c>
    </row>
    <row r="43" spans="1:9" x14ac:dyDescent="0.35">
      <c r="A43" s="30" t="s">
        <v>145</v>
      </c>
      <c r="B43" s="40">
        <f>'China 1995'!$H$26/'China 1995'!$L$26</f>
        <v>1.1869199824750069E-2</v>
      </c>
      <c r="C43" s="40">
        <f>'China 2000'!$H$26/'China 2000'!$L$26</f>
        <v>2.1346279813509037E-2</v>
      </c>
      <c r="D43" s="40">
        <f>'China 2005'!$H$26/'China 2005'!$L$26</f>
        <v>2.2791467809486706E-2</v>
      </c>
      <c r="E43" s="40">
        <f>'China 2010'!$H$26/'China 2010'!$L$26</f>
        <v>3.2173432753383045E-2</v>
      </c>
      <c r="F43" s="40">
        <f>'China 2015'!$H$26/'China 2015'!$L$26</f>
        <v>5.5951319053263115E-2</v>
      </c>
      <c r="G43" s="40">
        <f>'China 2018'!$H$26/'China 2018'!$L$26</f>
        <v>5.9034139971778185E-2</v>
      </c>
      <c r="H43" s="77">
        <f t="shared" si="0"/>
        <v>5.9034139971778185E-2</v>
      </c>
      <c r="I43" s="77">
        <f t="shared" si="0"/>
        <v>5.9034139971778185E-2</v>
      </c>
    </row>
    <row r="44" spans="1:9" x14ac:dyDescent="0.35">
      <c r="A44" s="30" t="s">
        <v>146</v>
      </c>
      <c r="B44" s="40">
        <f>'China 1995'!$I$26/'China 1995'!$L$26</f>
        <v>3.9829529613255268E-4</v>
      </c>
      <c r="C44" s="40">
        <f>'China 2000'!$I$26/'China 2000'!$L$26</f>
        <v>1.5412476399645513E-4</v>
      </c>
      <c r="D44" s="40">
        <f>'China 2005'!$I$26/'China 2005'!$L$26</f>
        <v>1.2174929385409564E-4</v>
      </c>
      <c r="E44" s="40">
        <f>'China 2010'!$I$26/'China 2010'!$L$26</f>
        <v>5.1781275890637943E-5</v>
      </c>
      <c r="F44" s="40">
        <f>'China 2015'!$I$26/'China 2015'!$L$26</f>
        <v>3.6657339410305598E-5</v>
      </c>
      <c r="G44" s="40">
        <f>'China 2018'!$I$26/'China 2018'!$L$26</f>
        <v>3.1591584002021861E-5</v>
      </c>
      <c r="H44" s="77">
        <f t="shared" si="0"/>
        <v>3.1591584002021861E-5</v>
      </c>
      <c r="I44" s="77">
        <f t="shared" si="0"/>
        <v>3.1591584002021861E-5</v>
      </c>
    </row>
    <row r="45" spans="1:9" x14ac:dyDescent="0.35">
      <c r="A45" s="30" t="s">
        <v>147</v>
      </c>
      <c r="B45" s="40">
        <f>'China 1995'!$J$26/'China 1995'!$L$26</f>
        <v>0.19444776357191221</v>
      </c>
      <c r="C45" s="40">
        <f>'China 2000'!$J$26/'China 2000'!$L$26</f>
        <v>0.30674681154394484</v>
      </c>
      <c r="D45" s="40">
        <f>'China 2005'!$J$26/'China 2005'!$L$26</f>
        <v>0.29904061556442973</v>
      </c>
      <c r="E45" s="40">
        <f>'China 2010'!$J$26/'China 2010'!$L$26</f>
        <v>0.32623929853631595</v>
      </c>
      <c r="F45" s="40">
        <f>'China 2015'!$J$26/'China 2015'!$L$26</f>
        <v>0.35056635589388924</v>
      </c>
      <c r="G45" s="40">
        <f>'China 2018'!$J$26/'China 2018'!$L$26</f>
        <v>0.40478296581790613</v>
      </c>
      <c r="H45" s="89">
        <f>1-H46-H44-H43-H42-H41-H40</f>
        <v>0.40478296581790618</v>
      </c>
      <c r="I45" s="89">
        <f>1-I46-I44-I43-I42-I41-I40</f>
        <v>0.40478296581790618</v>
      </c>
    </row>
    <row r="46" spans="1:9" x14ac:dyDescent="0.35">
      <c r="A46" s="30" t="s">
        <v>148</v>
      </c>
      <c r="B46" s="40">
        <f>'China 1995'!$K$26/'China 1995'!$L$26</f>
        <v>2.708408013701358E-3</v>
      </c>
      <c r="C46" s="40">
        <f>'China 2000'!$K$26/'China 2000'!$L$26</f>
        <v>1.710784880360652E-2</v>
      </c>
      <c r="D46" s="40">
        <f>'China 2005'!$K$26/'China 2005'!$L$26</f>
        <v>1.9382487581572027E-2</v>
      </c>
      <c r="E46" s="40">
        <f>'China 2010'!$K$26/'China 2010'!$L$26</f>
        <v>2.3025407346037006E-2</v>
      </c>
      <c r="F46" s="40">
        <f>'China 2015'!$K$26/'China 2015'!$L$26</f>
        <v>2.6429941714830339E-2</v>
      </c>
      <c r="G46" s="40">
        <f>'China 2018'!$K$26/'China 2018'!$L$26</f>
        <v>2.9548661569891114E-2</v>
      </c>
      <c r="H46" s="77">
        <f t="shared" si="0"/>
        <v>2.9548661569891114E-2</v>
      </c>
      <c r="I46" s="77">
        <f t="shared" si="0"/>
        <v>2.9548661569891114E-2</v>
      </c>
    </row>
    <row r="47" spans="1:9" x14ac:dyDescent="0.35">
      <c r="A47" s="31" t="s">
        <v>152</v>
      </c>
      <c r="B47" s="81"/>
      <c r="C47" s="81"/>
      <c r="D47" s="81"/>
      <c r="E47" s="81"/>
      <c r="F47" s="81"/>
      <c r="G47" s="81"/>
      <c r="H47" s="42"/>
      <c r="I47" s="42"/>
    </row>
    <row r="48" spans="1:9" x14ac:dyDescent="0.35">
      <c r="A48" s="30" t="s">
        <v>141</v>
      </c>
      <c r="B48" s="40">
        <f>'China 1995'!$B$27/'China 1995'!$L$27</f>
        <v>0.29017279887151759</v>
      </c>
      <c r="C48" s="40">
        <f>'China 2000'!$B$27/'China 2000'!$L$27</f>
        <v>0.31088110688046333</v>
      </c>
      <c r="D48" s="40">
        <f>'China 2005'!$B$27/'China 2005'!$L$27</f>
        <v>0.30448646407958929</v>
      </c>
      <c r="E48" s="40">
        <f>'China 2010'!$B$27/'China 2010'!$L$27</f>
        <v>0.32700508207255097</v>
      </c>
      <c r="F48" s="40">
        <f>'China 2015'!$B$27/'China 2015'!$L$27</f>
        <v>0.32867368826974525</v>
      </c>
      <c r="G48" s="40">
        <f>'China 2018'!$B$27/'China 2018'!$L$27</f>
        <v>0.30506149898239093</v>
      </c>
      <c r="H48" s="77">
        <f t="shared" si="0"/>
        <v>0.30506149898239093</v>
      </c>
      <c r="I48" s="77">
        <f t="shared" si="0"/>
        <v>0.30506149898239093</v>
      </c>
    </row>
    <row r="49" spans="1:9" x14ac:dyDescent="0.35">
      <c r="A49" s="30" t="s">
        <v>143</v>
      </c>
      <c r="B49" s="40">
        <f>'China 1995'!$D$27/'China 1995'!$L$27</f>
        <v>0.55892206418243795</v>
      </c>
      <c r="C49" s="40">
        <f>'China 2000'!$D$27/'China 2000'!$L$27</f>
        <v>0.43186571566471821</v>
      </c>
      <c r="D49" s="40">
        <f>'China 2005'!$D$27/'China 2005'!$L$27</f>
        <v>0.4728803290711393</v>
      </c>
      <c r="E49" s="40">
        <f>'China 2010'!$D$27/'China 2010'!$L$27</f>
        <v>0.41261171797418073</v>
      </c>
      <c r="F49" s="40">
        <f>'China 2015'!$D$27/'China 2015'!$L$27</f>
        <v>0.42700826685305249</v>
      </c>
      <c r="G49" s="40">
        <f>'China 2018'!$D$27/'China 2018'!$L$27</f>
        <v>0.41775064153614727</v>
      </c>
      <c r="H49" s="77">
        <f t="shared" si="0"/>
        <v>0.41775064153614727</v>
      </c>
      <c r="I49" s="77">
        <f t="shared" si="0"/>
        <v>0.41775064153614727</v>
      </c>
    </row>
    <row r="50" spans="1:9" x14ac:dyDescent="0.35">
      <c r="A50" s="30" t="s">
        <v>241</v>
      </c>
      <c r="B50" s="40">
        <f>'China 1995'!$E$27/'China 1995'!$L$27</f>
        <v>5.877512636652169E-5</v>
      </c>
      <c r="C50" s="40">
        <f>'China 2000'!$E$27/'China 2000'!$L$27</f>
        <v>0</v>
      </c>
      <c r="D50" s="40">
        <f>'China 2005'!$E$27/'China 2005'!$L$27</f>
        <v>0</v>
      </c>
      <c r="E50" s="40">
        <f>'China 2010'!$E$27/'China 2010'!$L$27</f>
        <v>1.2267071674747357E-3</v>
      </c>
      <c r="F50" s="40">
        <f>'China 2015'!$E$27/'China 2015'!$L$27</f>
        <v>1.904027379431684E-3</v>
      </c>
      <c r="G50" s="40">
        <f>'China 2018'!$E$27/'China 2018'!$L$27</f>
        <v>2.4555349084151843E-3</v>
      </c>
      <c r="H50" s="77">
        <f t="shared" si="0"/>
        <v>2.4555349084151843E-3</v>
      </c>
      <c r="I50" s="77">
        <f t="shared" si="0"/>
        <v>2.4555349084151843E-3</v>
      </c>
    </row>
    <row r="51" spans="1:9" x14ac:dyDescent="0.35">
      <c r="A51" s="30" t="s">
        <v>145</v>
      </c>
      <c r="B51" s="40">
        <f>'China 1995'!$H$27/'China 1995'!$L$27</f>
        <v>3.5558951451745619E-3</v>
      </c>
      <c r="C51" s="40">
        <f>'China 2000'!$H$27/'China 2000'!$L$27</f>
        <v>1.0993725532257199E-2</v>
      </c>
      <c r="D51" s="40">
        <f>'China 2005'!$H$27/'China 2005'!$L$27</f>
        <v>9.3747010618283853E-3</v>
      </c>
      <c r="E51" s="40">
        <f>'China 2010'!$H$27/'China 2010'!$L$27</f>
        <v>1.3318534961154272E-2</v>
      </c>
      <c r="F51" s="40">
        <f>'China 2015'!$H$27/'China 2015'!$L$27</f>
        <v>2.6294859126075536E-2</v>
      </c>
      <c r="G51" s="40">
        <f>'China 2018'!$H$27/'China 2018'!$L$27</f>
        <v>3.2563489956641004E-2</v>
      </c>
      <c r="H51" s="77">
        <f t="shared" si="0"/>
        <v>3.2563489956641004E-2</v>
      </c>
      <c r="I51" s="77">
        <f t="shared" si="0"/>
        <v>3.2563489956641004E-2</v>
      </c>
    </row>
    <row r="52" spans="1:9" x14ac:dyDescent="0.35">
      <c r="A52" s="30" t="s">
        <v>146</v>
      </c>
      <c r="B52" s="40">
        <f>'China 1995'!$I$27/'China 1995'!$L$27</f>
        <v>0</v>
      </c>
      <c r="C52" s="40">
        <f>'China 2000'!$I$27/'China 2000'!$L$27</f>
        <v>0</v>
      </c>
      <c r="D52" s="40">
        <f>'China 2005'!$I$27/'China 2005'!$L$27</f>
        <v>0</v>
      </c>
      <c r="E52" s="40">
        <f>'China 2010'!$I$27/'China 2010'!$L$27</f>
        <v>0</v>
      </c>
      <c r="F52" s="40">
        <f>'China 2015'!$I$27/'China 2015'!$L$27</f>
        <v>0</v>
      </c>
      <c r="G52" s="40">
        <f>'China 2018'!$I$27/'China 2018'!$L$27</f>
        <v>0</v>
      </c>
      <c r="H52" s="77">
        <f t="shared" si="0"/>
        <v>0</v>
      </c>
      <c r="I52" s="77">
        <f t="shared" si="0"/>
        <v>0</v>
      </c>
    </row>
    <row r="53" spans="1:9" x14ac:dyDescent="0.35">
      <c r="A53" s="30" t="s">
        <v>147</v>
      </c>
      <c r="B53" s="40">
        <f>'China 1995'!$J$27/'China 1995'!$L$27</f>
        <v>0.1471729164217703</v>
      </c>
      <c r="C53" s="40">
        <f>'China 2000'!$J$27/'China 2000'!$L$27</f>
        <v>0.24577680055773046</v>
      </c>
      <c r="D53" s="40">
        <f>'China 2005'!$J$27/'China 2005'!$L$27</f>
        <v>0.21284397818947101</v>
      </c>
      <c r="E53" s="40">
        <f>'China 2010'!$J$27/'China 2010'!$L$27</f>
        <v>0.24522460424090192</v>
      </c>
      <c r="F53" s="40">
        <f>'China 2015'!$J$27/'China 2015'!$L$27</f>
        <v>0.21549251644935047</v>
      </c>
      <c r="G53" s="40">
        <f>'China 2018'!$J$27/'China 2018'!$L$27</f>
        <v>0.24143881072471463</v>
      </c>
      <c r="H53" s="89">
        <f>1-H54-H52-H51-H50-H49-H48</f>
        <v>0.24141668878860273</v>
      </c>
      <c r="I53" s="89">
        <f>1-I54-I52-I51-I50-I49-I48</f>
        <v>0.24141668878860273</v>
      </c>
    </row>
    <row r="54" spans="1:9" x14ac:dyDescent="0.35">
      <c r="A54" s="30" t="s">
        <v>148</v>
      </c>
      <c r="B54" s="40">
        <f>'China 1995'!$K$27/'China 1995'!$L$27</f>
        <v>1.1755025273304338E-4</v>
      </c>
      <c r="C54" s="40">
        <f>'China 2000'!$K$27/'China 2000'!$L$27</f>
        <v>4.8265136483080387E-4</v>
      </c>
      <c r="D54" s="40">
        <f>'China 2005'!$K$27/'China 2005'!$L$27</f>
        <v>4.1452759797200344E-4</v>
      </c>
      <c r="E54" s="40">
        <f>'China 2010'!$K$27/'China 2010'!$L$27</f>
        <v>6.4256089724867111E-4</v>
      </c>
      <c r="F54" s="40">
        <f>'China 2015'!$K$27/'China 2015'!$L$27</f>
        <v>6.0254030994673542E-4</v>
      </c>
      <c r="G54" s="40">
        <f>'China 2018'!$K$27/'China 2018'!$L$27</f>
        <v>7.5214582780284934E-4</v>
      </c>
      <c r="H54" s="77">
        <f t="shared" si="0"/>
        <v>7.5214582780284934E-4</v>
      </c>
      <c r="I54" s="77">
        <f t="shared" si="0"/>
        <v>7.5214582780284934E-4</v>
      </c>
    </row>
    <row r="55" spans="1:9" x14ac:dyDescent="0.35">
      <c r="A55" s="31" t="s">
        <v>153</v>
      </c>
      <c r="B55" s="81"/>
      <c r="C55" s="81"/>
      <c r="D55" s="81"/>
      <c r="E55" s="81"/>
      <c r="F55" s="81"/>
      <c r="G55" s="81"/>
      <c r="H55" s="42"/>
      <c r="I55" s="42"/>
    </row>
    <row r="56" spans="1:9" x14ac:dyDescent="0.35">
      <c r="A56" s="30" t="s">
        <v>141</v>
      </c>
      <c r="B56" s="40">
        <f>'China 1995'!$B$28/IF('China 1995'!$L$28=0,1,'China 1995'!$L$28)</f>
        <v>0</v>
      </c>
      <c r="C56" s="40">
        <f>'China 2000'!$B$28/IF('China 2000'!$L$28=0,1,'China 2000'!$L$28)</f>
        <v>0</v>
      </c>
      <c r="D56" s="40">
        <f>'China 2005'!$B$28/IF('China 2005'!$L$28=0,1,'China 2005'!$L$28)</f>
        <v>0</v>
      </c>
      <c r="E56" s="40">
        <f>'China 2010'!$B$28/IF('China 2010'!$L$28=0,1,'China 2010'!$L$28)</f>
        <v>0</v>
      </c>
      <c r="F56" s="40">
        <f>'China 2015'!$B$28/IF('China 2015'!$L$28=0,1,'China 2015'!$L$28)</f>
        <v>0</v>
      </c>
      <c r="G56" s="40">
        <f>'China 2018'!$B$28/IF('China 2018'!$L$28=0,1,'China 2018'!$L$28)</f>
        <v>0</v>
      </c>
      <c r="H56" s="77">
        <f t="shared" si="0"/>
        <v>0</v>
      </c>
      <c r="I56" s="77">
        <f t="shared" si="0"/>
        <v>0</v>
      </c>
    </row>
    <row r="57" spans="1:9" x14ac:dyDescent="0.35">
      <c r="A57" s="30" t="s">
        <v>143</v>
      </c>
      <c r="B57" s="40">
        <f>'China 1995'!$D$28/IF('China 1995'!$L$28=0,1,'China 1995'!$L$28)</f>
        <v>0</v>
      </c>
      <c r="C57" s="40">
        <f>'China 2000'!$D$28/IF('China 2000'!$L$28=0,1,'China 2000'!$L$28)</f>
        <v>0</v>
      </c>
      <c r="D57" s="40">
        <f>'China 2005'!$D$28/IF('China 2005'!$L$28=0,1,'China 2005'!$L$28)</f>
        <v>0</v>
      </c>
      <c r="E57" s="40">
        <f>'China 2010'!$D$28/IF('China 2010'!$L$28=0,1,'China 2010'!$L$28)</f>
        <v>0</v>
      </c>
      <c r="F57" s="40">
        <f>'China 2015'!$D$28/IF('China 2015'!$L$28=0,1,'China 2015'!$L$28)</f>
        <v>0</v>
      </c>
      <c r="G57" s="40">
        <f>'China 2018'!$D$28/IF('China 2018'!$L$28=0,1,'China 2018'!$L$28)</f>
        <v>0</v>
      </c>
      <c r="H57" s="77">
        <f t="shared" si="0"/>
        <v>0</v>
      </c>
      <c r="I57" s="77">
        <f t="shared" si="0"/>
        <v>0</v>
      </c>
    </row>
    <row r="58" spans="1:9" x14ac:dyDescent="0.35">
      <c r="A58" s="30" t="s">
        <v>241</v>
      </c>
      <c r="B58" s="40">
        <f>'China 1995'!$E$28/IF('China 1995'!$L$28=0,1,'China 1995'!$L$28)</f>
        <v>0</v>
      </c>
      <c r="C58" s="40">
        <f>'China 2000'!$E$28/IF('China 2000'!$L$28=0,1,'China 2000'!$L$28)</f>
        <v>0</v>
      </c>
      <c r="D58" s="40">
        <f>'China 2005'!$E$28/IF('China 2005'!$L$28=0,1,'China 2005'!$L$28)</f>
        <v>0</v>
      </c>
      <c r="E58" s="40">
        <f>'China 2010'!$E$28/IF('China 2010'!$L$28=0,1,'China 2010'!$L$28)</f>
        <v>0</v>
      </c>
      <c r="F58" s="40">
        <f>'China 2015'!$E$28/IF('China 2015'!$L$28=0,1,'China 2015'!$L$28)</f>
        <v>0</v>
      </c>
      <c r="G58" s="40">
        <f>'China 2018'!$E$28/IF('China 2018'!$L$28=0,1,'China 2018'!$L$28)</f>
        <v>0</v>
      </c>
      <c r="H58" s="77">
        <f t="shared" si="0"/>
        <v>0</v>
      </c>
      <c r="I58" s="77">
        <f t="shared" si="0"/>
        <v>0</v>
      </c>
    </row>
    <row r="59" spans="1:9" x14ac:dyDescent="0.35">
      <c r="A59" s="30" t="s">
        <v>145</v>
      </c>
      <c r="B59" s="40">
        <f>'China 1995'!$H$28/IF('China 1995'!$L$28=0,1,'China 1995'!$L$28)</f>
        <v>0</v>
      </c>
      <c r="C59" s="40">
        <f>'China 2000'!$H$28/IF('China 2000'!$L$28=0,1,'China 2000'!$L$28)</f>
        <v>0</v>
      </c>
      <c r="D59" s="40">
        <f>'China 2005'!$H$28/IF('China 2005'!$L$28=0,1,'China 2005'!$L$28)</f>
        <v>0</v>
      </c>
      <c r="E59" s="40">
        <f>'China 2010'!$H$28/IF('China 2010'!$L$28=0,1,'China 2010'!$L$28)</f>
        <v>0</v>
      </c>
      <c r="F59" s="40">
        <f>'China 2015'!$H$28/IF('China 2015'!$L$28=0,1,'China 2015'!$L$28)</f>
        <v>0</v>
      </c>
      <c r="G59" s="40">
        <f>'China 2018'!$H$28/IF('China 2018'!$L$28=0,1,'China 2018'!$L$28)</f>
        <v>0</v>
      </c>
      <c r="H59" s="77">
        <f t="shared" si="0"/>
        <v>0</v>
      </c>
      <c r="I59" s="77">
        <f t="shared" si="0"/>
        <v>0</v>
      </c>
    </row>
    <row r="60" spans="1:9" x14ac:dyDescent="0.35">
      <c r="A60" s="30" t="s">
        <v>146</v>
      </c>
      <c r="B60" s="40">
        <f>'China 1995'!$I$28/IF('China 1995'!$L$28=0,1,'China 1995'!$L$28)</f>
        <v>0</v>
      </c>
      <c r="C60" s="40">
        <f>'China 2000'!$I$28/IF('China 2000'!$L$28=0,1,'China 2000'!$L$28)</f>
        <v>0</v>
      </c>
      <c r="D60" s="40">
        <f>'China 2005'!$I$28/IF('China 2005'!$L$28=0,1,'China 2005'!$L$28)</f>
        <v>0</v>
      </c>
      <c r="E60" s="40">
        <f>'China 2010'!$I$28/IF('China 2010'!$L$28=0,1,'China 2010'!$L$28)</f>
        <v>0</v>
      </c>
      <c r="F60" s="40">
        <f>'China 2015'!$I$28/IF('China 2015'!$L$28=0,1,'China 2015'!$L$28)</f>
        <v>0</v>
      </c>
      <c r="G60" s="40">
        <f>'China 2018'!$I$28/IF('China 2018'!$L$28=0,1,'China 2018'!$L$28)</f>
        <v>0</v>
      </c>
      <c r="H60" s="77">
        <f t="shared" si="0"/>
        <v>0</v>
      </c>
      <c r="I60" s="77">
        <f t="shared" si="0"/>
        <v>0</v>
      </c>
    </row>
    <row r="61" spans="1:9" x14ac:dyDescent="0.35">
      <c r="A61" s="30" t="s">
        <v>147</v>
      </c>
      <c r="B61" s="40">
        <f>'China 1995'!$J$28/IF('China 1995'!$L$28=0,1,'China 1995'!$L$28)</f>
        <v>0</v>
      </c>
      <c r="C61" s="40">
        <f>'China 2000'!$J$28/IF('China 2000'!$L$28=0,1,'China 2000'!$L$28)</f>
        <v>0</v>
      </c>
      <c r="D61" s="40">
        <f>'China 2005'!$J$28/IF('China 2005'!$L$28=0,1,'China 2005'!$L$28)</f>
        <v>0</v>
      </c>
      <c r="E61" s="40">
        <f>'China 2010'!$J$28/IF('China 2010'!$L$28=0,1,'China 2010'!$L$28)</f>
        <v>0</v>
      </c>
      <c r="F61" s="40">
        <f>'China 2015'!$J$28/IF('China 2015'!$L$28=0,1,'China 2015'!$L$28)</f>
        <v>0</v>
      </c>
      <c r="G61" s="40">
        <f>'China 2018'!$J$28/IF('China 2018'!$L$28=0,1,'China 2018'!$L$28)</f>
        <v>0</v>
      </c>
      <c r="H61" s="89">
        <f>1-H62-H60-H59-H58-H57-H56</f>
        <v>1</v>
      </c>
      <c r="I61" s="89">
        <f>1-I62-I60-I59-I58-I57-I56</f>
        <v>1</v>
      </c>
    </row>
    <row r="62" spans="1:9" x14ac:dyDescent="0.35">
      <c r="A62" s="30" t="s">
        <v>148</v>
      </c>
      <c r="B62" s="40">
        <f>'China 1995'!$K$28/IF('China 1995'!$L$28=0,1,'China 1995'!$L$28)</f>
        <v>0</v>
      </c>
      <c r="C62" s="40">
        <f>'China 2000'!$K$28/IF('China 2000'!$L$28=0,1,'China 2000'!$L$28)</f>
        <v>0</v>
      </c>
      <c r="D62" s="40">
        <f>'China 2005'!$K$28/IF('China 2005'!$L$28=0,1,'China 2005'!$L$28)</f>
        <v>0</v>
      </c>
      <c r="E62" s="40">
        <f>'China 2010'!$K$28/IF('China 2010'!$L$28=0,1,'China 2010'!$L$28)</f>
        <v>0</v>
      </c>
      <c r="F62" s="40">
        <f>'China 2015'!$K$28/IF('China 2015'!$L$28=0,1,'China 2015'!$L$28)</f>
        <v>0</v>
      </c>
      <c r="G62" s="40">
        <f>'China 2018'!$K$28/IF('China 2018'!$L$28=0,1,'China 2018'!$L$28)</f>
        <v>0</v>
      </c>
      <c r="H62" s="77">
        <f t="shared" si="0"/>
        <v>0</v>
      </c>
      <c r="I62" s="77">
        <f t="shared" si="0"/>
        <v>0</v>
      </c>
    </row>
    <row r="63" spans="1:9" x14ac:dyDescent="0.35">
      <c r="A63" s="31" t="s">
        <v>154</v>
      </c>
      <c r="B63" s="81"/>
      <c r="C63" s="81"/>
      <c r="D63" s="81"/>
      <c r="E63" s="81"/>
      <c r="F63" s="81"/>
      <c r="G63" s="81"/>
      <c r="H63" s="42"/>
      <c r="I63" s="42"/>
    </row>
    <row r="64" spans="1:9" x14ac:dyDescent="0.35">
      <c r="A64" s="30" t="s">
        <v>141</v>
      </c>
      <c r="B64" s="40">
        <f>'China 1995'!$B$29/'China 1995'!$L$29</f>
        <v>0.81494857982370228</v>
      </c>
      <c r="C64" s="40">
        <f>'China 2000'!$B$29/'China 2000'!$L$29</f>
        <v>0.66849597913497061</v>
      </c>
      <c r="D64" s="40">
        <f>'China 2005'!$B$29/'China 2005'!$L$29</f>
        <v>0.61662840275500164</v>
      </c>
      <c r="E64" s="40">
        <f>'China 2010'!$B$29/'China 2010'!$L$29</f>
        <v>0.49585718771891685</v>
      </c>
      <c r="F64" s="40">
        <f>'China 2015'!$B$29/'China 2015'!$L$29</f>
        <v>0.38596030834836803</v>
      </c>
      <c r="G64" s="40">
        <f>'China 2018'!$B$29/'China 2018'!$L$29</f>
        <v>0.24626523090644387</v>
      </c>
      <c r="H64" s="77">
        <f t="shared" si="0"/>
        <v>0.24626523090644387</v>
      </c>
      <c r="I64" s="77">
        <f t="shared" si="0"/>
        <v>0.24626523090644387</v>
      </c>
    </row>
    <row r="65" spans="1:9" x14ac:dyDescent="0.35">
      <c r="A65" s="30" t="s">
        <v>143</v>
      </c>
      <c r="B65" s="40">
        <f>'China 1995'!$D$29/'China 1995'!$L$29</f>
        <v>0</v>
      </c>
      <c r="C65" s="40">
        <f>'China 2000'!$D$29/'China 2000'!$L$29</f>
        <v>0</v>
      </c>
      <c r="D65" s="40">
        <f>'China 2005'!$D$29/'China 2005'!$L$29</f>
        <v>0</v>
      </c>
      <c r="E65" s="40">
        <f>'China 2010'!$D$29/'China 2010'!$L$29</f>
        <v>0</v>
      </c>
      <c r="F65" s="40">
        <f>'China 2015'!$D$29/'China 2015'!$L$29</f>
        <v>0</v>
      </c>
      <c r="G65" s="40">
        <f>'China 2018'!$D$29/'China 2018'!$L$29</f>
        <v>0</v>
      </c>
      <c r="H65" s="77">
        <f t="shared" si="0"/>
        <v>0</v>
      </c>
      <c r="I65" s="77">
        <f t="shared" si="0"/>
        <v>0</v>
      </c>
    </row>
    <row r="66" spans="1:9" x14ac:dyDescent="0.35">
      <c r="A66" s="30" t="s">
        <v>241</v>
      </c>
      <c r="B66" s="40">
        <f>'China 1995'!$E$29/'China 1995'!$L$29</f>
        <v>0</v>
      </c>
      <c r="C66" s="40">
        <f>'China 2000'!$E$29/'China 2000'!$L$29</f>
        <v>0</v>
      </c>
      <c r="D66" s="40">
        <f>'China 2005'!$E$29/'China 2005'!$L$29</f>
        <v>0</v>
      </c>
      <c r="E66" s="40">
        <f>'China 2010'!$E$29/'China 2010'!$L$29</f>
        <v>0</v>
      </c>
      <c r="F66" s="40">
        <f>'China 2015'!$E$29/'China 2015'!$L$29</f>
        <v>0</v>
      </c>
      <c r="G66" s="40">
        <f>'China 2018'!$E$29/'China 2018'!$L$29</f>
        <v>0</v>
      </c>
      <c r="H66" s="77">
        <f t="shared" si="0"/>
        <v>0</v>
      </c>
      <c r="I66" s="77">
        <f t="shared" si="0"/>
        <v>0</v>
      </c>
    </row>
    <row r="67" spans="1:9" x14ac:dyDescent="0.35">
      <c r="A67" s="30" t="s">
        <v>145</v>
      </c>
      <c r="B67" s="40">
        <f>'China 1995'!$H$29/'China 1995'!$L$29</f>
        <v>4.2850146914789422E-4</v>
      </c>
      <c r="C67" s="40">
        <f>'China 2000'!$H$29/'China 2000'!$L$29</f>
        <v>5.9769615301021517E-4</v>
      </c>
      <c r="D67" s="40">
        <f>'China 2005'!$H$29/'China 2005'!$L$29</f>
        <v>5.2476221712036738E-4</v>
      </c>
      <c r="E67" s="40">
        <f>'China 2010'!$H$29/'China 2010'!$L$29</f>
        <v>6.0390849578471873E-4</v>
      </c>
      <c r="F67" s="40">
        <f>'China 2015'!$H$29/'China 2015'!$L$29</f>
        <v>1.0004920452681646E-3</v>
      </c>
      <c r="G67" s="40">
        <f>'China 2018'!$H$29/'China 2018'!$L$29</f>
        <v>1.0755085712786747E-3</v>
      </c>
      <c r="H67" s="77">
        <f t="shared" si="0"/>
        <v>1.0755085712786747E-3</v>
      </c>
      <c r="I67" s="77">
        <f t="shared" si="0"/>
        <v>1.0755085712786747E-3</v>
      </c>
    </row>
    <row r="68" spans="1:9" x14ac:dyDescent="0.35">
      <c r="A68" s="30" t="s">
        <v>146</v>
      </c>
      <c r="B68" s="40">
        <f>'China 1995'!$I$29/'China 1995'!$L$29</f>
        <v>6.1214495592556322E-4</v>
      </c>
      <c r="C68" s="40">
        <f>'China 2000'!$I$29/'China 2000'!$L$29</f>
        <v>2.1734405564007825E-4</v>
      </c>
      <c r="D68" s="40">
        <f>'China 2005'!$I$29/'China 2005'!$L$29</f>
        <v>1.6398819285011479E-4</v>
      </c>
      <c r="E68" s="40">
        <f>'China 2010'!$I$29/'China 2010'!$L$29</f>
        <v>7.2469019494166251E-5</v>
      </c>
      <c r="F68" s="40">
        <f>'China 2015'!$I$29/'China 2015'!$L$29</f>
        <v>6.5606035755289485E-5</v>
      </c>
      <c r="G68" s="40">
        <f>'China 2018'!$I$29/'China 2018'!$L$29</f>
        <v>3.9347874558975906E-5</v>
      </c>
      <c r="H68" s="77">
        <f t="shared" si="0"/>
        <v>3.9347874558975906E-5</v>
      </c>
      <c r="I68" s="77">
        <f t="shared" si="0"/>
        <v>3.9347874558975906E-5</v>
      </c>
    </row>
    <row r="69" spans="1:9" x14ac:dyDescent="0.35">
      <c r="A69" s="30" t="s">
        <v>147</v>
      </c>
      <c r="B69" s="40">
        <f>'China 1995'!$J$29/'China 1995'!$L$29</f>
        <v>0.12365328109696376</v>
      </c>
      <c r="C69" s="40">
        <f>'China 2000'!$J$29/'China 2000'!$L$29</f>
        <v>0.28602477722234299</v>
      </c>
      <c r="D69" s="40">
        <f>'China 2005'!$J$29/'China 2005'!$L$29</f>
        <v>0.35027877992784517</v>
      </c>
      <c r="E69" s="40">
        <f>'China 2010'!$J$29/'China 2010'!$L$29</f>
        <v>0.46003333574896732</v>
      </c>
      <c r="F69" s="40">
        <f>'China 2015'!$J$29/'China 2015'!$L$29</f>
        <v>0.56444152862063313</v>
      </c>
      <c r="G69" s="40">
        <f>'China 2018'!$J$29/'China 2018'!$L$29</f>
        <v>0.69885760004197106</v>
      </c>
      <c r="H69" s="89">
        <f>1-H70-H68-H67-H66-H65-H64</f>
        <v>0.69884448408378486</v>
      </c>
      <c r="I69" s="89">
        <f>1-I70-I68-I67-I66-I65-I64</f>
        <v>0.69884448408378486</v>
      </c>
    </row>
    <row r="70" spans="1:9" x14ac:dyDescent="0.35">
      <c r="A70" s="30" t="s">
        <v>148</v>
      </c>
      <c r="B70" s="40">
        <f>'China 1995'!$K$29/'China 1995'!$L$29</f>
        <v>4.0401567091087172E-2</v>
      </c>
      <c r="C70" s="40">
        <f>'China 2000'!$K$29/'China 2000'!$L$29</f>
        <v>3.3090632471201913E-2</v>
      </c>
      <c r="D70" s="40">
        <f>'China 2005'!$K$29/'China 2005'!$L$29</f>
        <v>3.2404066907182685E-2</v>
      </c>
      <c r="E70" s="40">
        <f>'China 2010'!$K$29/'China 2010'!$L$29</f>
        <v>4.3433099016836972E-2</v>
      </c>
      <c r="F70" s="40">
        <f>'China 2015'!$K$29/'China 2015'!$L$29</f>
        <v>4.8548466458914218E-2</v>
      </c>
      <c r="G70" s="40">
        <f>'China 2018'!$K$29/'China 2018'!$L$29</f>
        <v>5.377542856393374E-2</v>
      </c>
      <c r="H70" s="77">
        <f t="shared" ref="H70:I132" si="1">G70</f>
        <v>5.377542856393374E-2</v>
      </c>
      <c r="I70" s="77">
        <f t="shared" si="1"/>
        <v>5.377542856393374E-2</v>
      </c>
    </row>
    <row r="71" spans="1:9" x14ac:dyDescent="0.35">
      <c r="A71" s="38" t="s">
        <v>155</v>
      </c>
      <c r="B71" s="42"/>
      <c r="C71" s="42"/>
      <c r="D71" s="42"/>
      <c r="E71" s="42"/>
      <c r="F71" s="42"/>
      <c r="G71" s="42"/>
      <c r="H71" s="42"/>
      <c r="I71" s="42"/>
    </row>
    <row r="72" spans="1:9" x14ac:dyDescent="0.35">
      <c r="A72" s="30" t="s">
        <v>147</v>
      </c>
      <c r="B72" s="40">
        <f>'China 1995'!$J21/IF('China 1995'!$J22=0,1,'China 1995'!$J22)*-1</f>
        <v>9.8649339271373288E-2</v>
      </c>
      <c r="C72" s="40">
        <f>'China 2000'!$J21/IF('China 2000'!$J22=0,1,'China 2000'!$J22)*-1</f>
        <v>8.8725325470726604E-2</v>
      </c>
      <c r="D72" s="40">
        <f>'China 2005'!$J21/IF('China 2005'!$J22=0,1,'China 2005'!$J22)*-1</f>
        <v>8.4778992735025635E-2</v>
      </c>
      <c r="E72" s="40">
        <f>'China 2010'!$J21/IF('China 2010'!$J22=0,1,'China 2010'!$J22)*-1</f>
        <v>7.4055821573419819E-2</v>
      </c>
      <c r="F72" s="40">
        <f>'China 2015'!$J21/IF('China 2015'!$J22=0,1,'China 2015'!$J22)*-1</f>
        <v>6.1101433106340128E-2</v>
      </c>
      <c r="G72" s="40">
        <f>'China 2018'!$J21/IF('China 2018'!$J22=0,1,'China 2018'!$J22)*-1</f>
        <v>5.5533360735399759E-2</v>
      </c>
      <c r="H72" s="77">
        <f t="shared" si="1"/>
        <v>5.5533360735399759E-2</v>
      </c>
      <c r="I72" s="77">
        <f t="shared" si="1"/>
        <v>5.5533360735399759E-2</v>
      </c>
    </row>
    <row r="73" spans="1:9" x14ac:dyDescent="0.35">
      <c r="A73" s="30" t="s">
        <v>148</v>
      </c>
      <c r="B73" s="40">
        <f>'China 1995'!$K21/IF('China 1995'!$K22=0,1,'China 1995'!$K22)*-1</f>
        <v>1.9181454508154682E-2</v>
      </c>
      <c r="C73" s="40">
        <f>'China 2000'!$K21/IF('China 2000'!$K22=0,1,'China 2000'!$K22)*-1</f>
        <v>1.6509156503666522E-2</v>
      </c>
      <c r="D73" s="40">
        <f>'China 2005'!$K21/IF('China 2005'!$K22=0,1,'China 2005'!$K22)*-1</f>
        <v>1.4519139913807011E-2</v>
      </c>
      <c r="E73" s="40">
        <f>'China 2010'!$K21/IF('China 2010'!$K22=0,1,'China 2010'!$K22)*-1</f>
        <v>1.3108644575872965E-2</v>
      </c>
      <c r="F73" s="40">
        <f>'China 2015'!$K21/IF('China 2015'!$K22=0,1,'China 2015'!$K22)*-1</f>
        <v>1.384236748904496E-2</v>
      </c>
      <c r="G73" s="40">
        <f>'China 2018'!$K21/IF('China 2018'!$K22=0,1,'China 2018'!$K22)*-1</f>
        <v>1.1729183602369063E-2</v>
      </c>
      <c r="H73" s="77">
        <f t="shared" si="1"/>
        <v>1.1729183602369063E-2</v>
      </c>
      <c r="I73" s="77">
        <f t="shared" si="1"/>
        <v>1.1729183602369063E-2</v>
      </c>
    </row>
    <row r="74" spans="1:9" x14ac:dyDescent="0.35">
      <c r="A74" s="38" t="s">
        <v>242</v>
      </c>
      <c r="B74" s="42"/>
      <c r="C74" s="42"/>
      <c r="D74" s="42"/>
      <c r="E74" s="42"/>
      <c r="F74" s="42"/>
      <c r="G74" s="42"/>
      <c r="H74" s="42"/>
      <c r="I74" s="42"/>
    </row>
    <row r="75" spans="1:9" x14ac:dyDescent="0.35">
      <c r="A75" s="30" t="s">
        <v>243</v>
      </c>
      <c r="B75" s="40">
        <f>'China 1995'!$L20/B5*0.041872</f>
        <v>8.8698637462300264E-2</v>
      </c>
      <c r="C75" s="40">
        <f>'China 2000'!$L20/C5*0.041872</f>
        <v>0.1205001827475411</v>
      </c>
      <c r="D75" s="40">
        <f>'China 2005'!$L20/D5*0.041872</f>
        <v>9.2417123489178146E-2</v>
      </c>
      <c r="E75" s="40">
        <f>'China 2010'!$L20/E5*0.041872</f>
        <v>0.11078020196853434</v>
      </c>
      <c r="F75" s="40">
        <f>'China 2015'!$L20/F5*0.041872</f>
        <v>0.10007152585543595</v>
      </c>
      <c r="G75" s="40">
        <f>'China 2018'!$L20/G5*0.041872</f>
        <v>0.10109002505256802</v>
      </c>
      <c r="H75" s="77">
        <f t="shared" si="1"/>
        <v>0.10109002505256802</v>
      </c>
      <c r="I75" s="77">
        <f t="shared" si="1"/>
        <v>0.10109002505256802</v>
      </c>
    </row>
    <row r="76" spans="1:9" x14ac:dyDescent="0.35">
      <c r="A76" s="39" t="s">
        <v>158</v>
      </c>
      <c r="B76" s="43"/>
      <c r="C76" s="43"/>
      <c r="D76" s="43"/>
      <c r="E76" s="43"/>
      <c r="F76" s="43"/>
      <c r="G76" s="43"/>
      <c r="H76" s="43">
        <f t="shared" si="1"/>
        <v>0</v>
      </c>
      <c r="I76" s="43">
        <f t="shared" si="1"/>
        <v>0</v>
      </c>
    </row>
    <row r="77" spans="1:9" x14ac:dyDescent="0.35">
      <c r="A77" s="30" t="s">
        <v>147</v>
      </c>
      <c r="B77" s="40">
        <f>'China 1995'!$J20/'China 1995'!$L20</f>
        <v>0.20907939952975221</v>
      </c>
      <c r="C77" s="40">
        <f>'China 2000'!$J20/'China 2000'!$L20</f>
        <v>0.21423316771732856</v>
      </c>
      <c r="D77" s="40">
        <f>'China 2005'!$J20/'China 2005'!$L20</f>
        <v>0.27053194695599758</v>
      </c>
      <c r="E77" s="40">
        <f>'China 2010'!$J20/'China 2010'!$L20</f>
        <v>0.24130879345603273</v>
      </c>
      <c r="F77" s="40">
        <f>'China 2015'!$J20/'China 2015'!$L20</f>
        <v>0.31285385239970614</v>
      </c>
      <c r="G77" s="40">
        <f>'China 2018'!$J20/'China 2018'!$L20</f>
        <v>0.34214952242731622</v>
      </c>
      <c r="H77" s="89">
        <f>1-H78-H79-H80-H81-H82-H83</f>
        <v>0.34214428301224453</v>
      </c>
      <c r="I77" s="89">
        <f>1-I78-I79-I80-I81-I82-I83</f>
        <v>0.34214428301224453</v>
      </c>
    </row>
    <row r="78" spans="1:9" x14ac:dyDescent="0.35">
      <c r="A78" s="30" t="s">
        <v>148</v>
      </c>
      <c r="B78" s="40">
        <f>'China 1995'!$K20/'China 1995'!$L20</f>
        <v>8.6392958340869352E-2</v>
      </c>
      <c r="C78" s="40">
        <f>'China 2000'!$K20/'China 2000'!$L20</f>
        <v>0.10166710051269283</v>
      </c>
      <c r="D78" s="40">
        <f>'China 2005'!$K20/'China 2005'!$L20</f>
        <v>0.10030515370705244</v>
      </c>
      <c r="E78" s="40">
        <f>'China 2010'!$K20/'China 2010'!$L20</f>
        <v>5.6580003632933126E-2</v>
      </c>
      <c r="F78" s="40">
        <f>'China 2015'!$K20/'China 2015'!$L20</f>
        <v>6.3377208729417878E-2</v>
      </c>
      <c r="G78" s="40">
        <f>'China 2018'!$K20/'China 2018'!$L20</f>
        <v>7.0155767810081676E-2</v>
      </c>
      <c r="H78" s="77">
        <f t="shared" si="1"/>
        <v>7.0155767810081676E-2</v>
      </c>
      <c r="I78" s="77">
        <f t="shared" si="1"/>
        <v>7.0155767810081676E-2</v>
      </c>
    </row>
    <row r="79" spans="1:9" x14ac:dyDescent="0.35">
      <c r="A79" s="30" t="s">
        <v>141</v>
      </c>
      <c r="B79" s="40">
        <f>'China 1995'!$B20/'China 1995'!$L20</f>
        <v>0.4182944474588533</v>
      </c>
      <c r="C79" s="40">
        <f>'China 2000'!$B20/'China 2000'!$L20</f>
        <v>0.39965141414941657</v>
      </c>
      <c r="D79" s="40">
        <f>'China 2005'!$B20/'China 2005'!$L20</f>
        <v>0.36382044906570221</v>
      </c>
      <c r="E79" s="40">
        <f>'China 2010'!$B20/'China 2010'!$L20</f>
        <v>0.4427725139311266</v>
      </c>
      <c r="F79" s="40">
        <f>'China 2015'!$B20/'China 2015'!$L20</f>
        <v>0.30946239291218108</v>
      </c>
      <c r="G79" s="40">
        <f>'China 2018'!$B20/'China 2018'!$L20</f>
        <v>0.22139672326981416</v>
      </c>
      <c r="H79" s="77">
        <f t="shared" si="1"/>
        <v>0.22139672326981416</v>
      </c>
      <c r="I79" s="77">
        <f t="shared" si="1"/>
        <v>0.22139672326981416</v>
      </c>
    </row>
    <row r="80" spans="1:9" x14ac:dyDescent="0.35">
      <c r="A80" s="30" t="s">
        <v>244</v>
      </c>
      <c r="B80" s="40">
        <f>'China 1995'!$E20/'China 1995'!$L20</f>
        <v>7.243624525230602E-2</v>
      </c>
      <c r="C80" s="40">
        <f>'China 2000'!$E20/'China 2000'!$L20</f>
        <v>5.8954016093801284E-2</v>
      </c>
      <c r="D80" s="40">
        <f>'China 2005'!$E20/'China 2005'!$L20</f>
        <v>5.2723779385171789E-2</v>
      </c>
      <c r="E80" s="40">
        <f>'China 2010'!$E20/'China 2010'!$L20</f>
        <v>6.562717902742865E-2</v>
      </c>
      <c r="F80" s="40">
        <f>'China 2015'!$E20/'China 2015'!$L20</f>
        <v>0.11999911623205536</v>
      </c>
      <c r="G80" s="40">
        <f>'China 2018'!$E20/'China 2018'!$L20</f>
        <v>0.15777450605414411</v>
      </c>
      <c r="H80" s="77">
        <f t="shared" si="1"/>
        <v>0.15777450605414411</v>
      </c>
      <c r="I80" s="77">
        <f t="shared" si="1"/>
        <v>0.15777450605414411</v>
      </c>
    </row>
    <row r="81" spans="1:9" x14ac:dyDescent="0.35">
      <c r="A81" s="30" t="s">
        <v>160</v>
      </c>
      <c r="B81" s="40">
        <f>'China 1995'!$C20/'China 1995'!$L20</f>
        <v>2.6376077651172607E-2</v>
      </c>
      <c r="C81" s="40">
        <f>'China 2000'!$C20/'China 2000'!$L20</f>
        <v>4.6504521430107408E-2</v>
      </c>
      <c r="D81" s="40">
        <f>'China 2005'!$C20/'China 2005'!$L20</f>
        <v>4.602735081374322E-2</v>
      </c>
      <c r="E81" s="40">
        <f>'China 2010'!$C20/'China 2010'!$L20</f>
        <v>2.8260703968686459E-2</v>
      </c>
      <c r="F81" s="40">
        <f>'China 2015'!$C20/'China 2015'!$L20</f>
        <v>2.43257126759941E-2</v>
      </c>
      <c r="G81" s="40">
        <f>'China 2018'!$C20/'China 2018'!$L20</f>
        <v>1.6147877250983701E-2</v>
      </c>
      <c r="H81" s="77">
        <f t="shared" si="1"/>
        <v>1.6147877250983701E-2</v>
      </c>
      <c r="I81" s="77">
        <f t="shared" si="1"/>
        <v>1.6147877250983701E-2</v>
      </c>
    </row>
    <row r="82" spans="1:9" x14ac:dyDescent="0.35">
      <c r="A82" s="30" t="s">
        <v>143</v>
      </c>
      <c r="B82" s="40">
        <f>'China 1995'!$D20/'China 1995'!$L20</f>
        <v>0.18740579972267438</v>
      </c>
      <c r="C82" s="40">
        <f>'China 2000'!$D20/'China 2000'!$L20</f>
        <v>0.17898978009665334</v>
      </c>
      <c r="D82" s="40">
        <f>'China 2005'!$D20/'China 2005'!$L20</f>
        <v>0.16658190174804099</v>
      </c>
      <c r="E82" s="40">
        <f>'China 2010'!$D20/'China 2010'!$L20</f>
        <v>0.16545080598379244</v>
      </c>
      <c r="F82" s="40">
        <f>'China 2015'!$D20/'China 2015'!$L20</f>
        <v>0.16997619350099147</v>
      </c>
      <c r="G82" s="40">
        <f>'China 2018'!$D20/'China 2018'!$L20</f>
        <v>0.19238084260273183</v>
      </c>
      <c r="H82" s="77">
        <f t="shared" si="1"/>
        <v>0.19238084260273183</v>
      </c>
      <c r="I82" s="77">
        <f t="shared" si="1"/>
        <v>0.19238084260273183</v>
      </c>
    </row>
    <row r="83" spans="1:9" x14ac:dyDescent="0.35">
      <c r="A83" s="30" t="s">
        <v>161</v>
      </c>
      <c r="B83" s="40">
        <f>'China 1995'!$I20/'China 1995'!$L20</f>
        <v>0</v>
      </c>
      <c r="C83" s="40">
        <f>'China 2000'!$I20/'China 2000'!$L20</f>
        <v>0</v>
      </c>
      <c r="D83" s="40">
        <f>'China 2005'!$I20/'China 2005'!$L20</f>
        <v>0</v>
      </c>
      <c r="E83" s="40">
        <f>'China 2010'!$I20/'China 2010'!$L20</f>
        <v>0</v>
      </c>
      <c r="F83" s="40">
        <f>'China 2015'!$I20/'China 2015'!$L20</f>
        <v>0</v>
      </c>
      <c r="G83" s="40">
        <f>'China 2018'!$I20/'China 2018'!$L20</f>
        <v>0</v>
      </c>
      <c r="H83" s="77">
        <f t="shared" si="1"/>
        <v>0</v>
      </c>
      <c r="I83" s="77">
        <f t="shared" si="1"/>
        <v>0</v>
      </c>
    </row>
    <row r="84" spans="1:9" ht="18.75" customHeight="1" x14ac:dyDescent="0.35">
      <c r="A84" s="32" t="s">
        <v>162</v>
      </c>
      <c r="B84" s="82"/>
      <c r="C84" s="82"/>
      <c r="D84" s="82"/>
      <c r="E84" s="82"/>
      <c r="F84" s="82"/>
      <c r="G84" s="82"/>
      <c r="H84" s="42"/>
      <c r="I84" s="42"/>
    </row>
    <row r="85" spans="1:9" x14ac:dyDescent="0.35">
      <c r="A85" s="30" t="s">
        <v>163</v>
      </c>
      <c r="B85" s="40">
        <f>'China 1995'!$K13/IF(('China 1995'!$K13+'China 1995'!$K14)=0,1,('China 1995'!$K13+'China 1995'!$K14))</f>
        <v>0</v>
      </c>
      <c r="C85" s="40">
        <f>'China 2000'!$K13/IF(('China 2000'!$K13+'China 2000'!$K14)=0,1,('China 2000'!$K13+'China 2000'!$K14))</f>
        <v>0</v>
      </c>
      <c r="D85" s="40">
        <f>'China 2005'!$K13/IF(('China 2005'!$K13+'China 2005'!$K14)=0,1,('China 2005'!$K13+'China 2005'!$K14))</f>
        <v>0.91253132373653312</v>
      </c>
      <c r="E85" s="40">
        <f>'China 2010'!$K13/IF(('China 2010'!$K13+'China 2010'!$K14)=0,1,('China 2010'!$K13+'China 2010'!$K14))</f>
        <v>0.83645054031587696</v>
      </c>
      <c r="F85" s="40">
        <f>'China 2015'!$K13/IF(('China 2015'!$K13+'China 2015'!$K14)=0,1,('China 2015'!$K13+'China 2015'!$K14))</f>
        <v>0.86360793144429848</v>
      </c>
      <c r="G85" s="40">
        <f>'China 2018'!$K13/IF(('China 2018'!$K13+'China 2018'!$K14)=0,1,('China 2018'!$K13+'China 2018'!$K14))</f>
        <v>0.89123222748815167</v>
      </c>
      <c r="H85" s="89">
        <f>1-H86</f>
        <v>0.89123222748815167</v>
      </c>
      <c r="I85" s="89">
        <f>1-I86</f>
        <v>0.89123222748815167</v>
      </c>
    </row>
    <row r="86" spans="1:9" x14ac:dyDescent="0.35">
      <c r="A86" s="30" t="s">
        <v>164</v>
      </c>
      <c r="B86" s="40">
        <f>'China 1995'!$K14/IF(('China 1995'!$K13+'China 1995'!$K14)=0,1,('China 1995'!$K13+'China 1995'!$K14))</f>
        <v>1</v>
      </c>
      <c r="C86" s="40">
        <f>'China 2000'!$K14/IF(('China 2000'!$K13+'China 2000'!$K14)=0,1,('China 2000'!$K13+'China 2000'!$K14))</f>
        <v>1</v>
      </c>
      <c r="D86" s="40">
        <f>'China 2005'!$K14/IF(('China 2005'!$K13+'China 2005'!$K14)=0,1,('China 2005'!$K13+'China 2005'!$K14))</f>
        <v>8.7468676263466924E-2</v>
      </c>
      <c r="E86" s="40">
        <f>'China 2010'!$K14/IF(('China 2010'!$K13+'China 2010'!$K14)=0,1,('China 2010'!$K13+'China 2010'!$K14))</f>
        <v>0.16354945968412302</v>
      </c>
      <c r="F86" s="40">
        <f>'China 2015'!$K14/IF(('China 2015'!$K13+'China 2015'!$K14)=0,1,('China 2015'!$K13+'China 2015'!$K14))</f>
        <v>0.13639206855570152</v>
      </c>
      <c r="G86" s="40">
        <f>'China 2018'!$K14/IF(('China 2018'!$K13+'China 2018'!$K14)=0,1,('China 2018'!$K13+'China 2018'!$K14))</f>
        <v>0.10876777251184834</v>
      </c>
      <c r="H86" s="77">
        <f t="shared" si="1"/>
        <v>0.10876777251184834</v>
      </c>
      <c r="I86" s="77">
        <f t="shared" si="1"/>
        <v>0.10876777251184834</v>
      </c>
    </row>
    <row r="87" spans="1:9" x14ac:dyDescent="0.35">
      <c r="A87" s="32" t="s">
        <v>165</v>
      </c>
      <c r="B87" s="82"/>
      <c r="C87" s="82"/>
      <c r="D87" s="82"/>
      <c r="E87" s="82"/>
      <c r="F87" s="82"/>
      <c r="G87" s="82"/>
      <c r="H87" s="42"/>
      <c r="I87" s="42"/>
    </row>
    <row r="88" spans="1:9" x14ac:dyDescent="0.35">
      <c r="A88" s="30" t="s">
        <v>166</v>
      </c>
      <c r="B88" s="40">
        <f>'China 1995'!$J14/IF('China 1995'!$K14=0,1,'China 1995'!$K14)*-1</f>
        <v>0</v>
      </c>
      <c r="C88" s="40">
        <f>'China 2000'!$J14/IF('China 2000'!$K14=0,1,'China 2000'!$K14)*-1</f>
        <v>0</v>
      </c>
      <c r="D88" s="40">
        <f>'China 2005'!$J14/IF('China 2005'!$K14=0,1,'China 2005'!$K14)*-1</f>
        <v>0</v>
      </c>
      <c r="E88" s="40">
        <f>'China 2010'!$J14/IF('China 2010'!$K14=0,1,'China 2010'!$K14)*-1</f>
        <v>0</v>
      </c>
      <c r="F88" s="40">
        <f>'China 2015'!$J14/IF('China 2015'!$K14=0,1,'China 2015'!$K14)*-1</f>
        <v>0</v>
      </c>
      <c r="G88" s="40">
        <f>'China 2018'!$J14/IF('China 2018'!$K14=0,1,'China 2018'!$K14)*-1</f>
        <v>0</v>
      </c>
      <c r="H88" s="77">
        <f t="shared" si="1"/>
        <v>0</v>
      </c>
      <c r="I88" s="77">
        <f t="shared" si="1"/>
        <v>0</v>
      </c>
    </row>
    <row r="89" spans="1:9" ht="18.75" customHeight="1" x14ac:dyDescent="0.35">
      <c r="A89" s="32" t="s">
        <v>167</v>
      </c>
      <c r="B89" s="82"/>
      <c r="C89" s="82"/>
      <c r="D89" s="82"/>
      <c r="E89" s="82"/>
      <c r="F89" s="82"/>
      <c r="G89" s="82"/>
      <c r="H89" s="42"/>
      <c r="I89" s="42"/>
    </row>
    <row r="90" spans="1:9" x14ac:dyDescent="0.35">
      <c r="A90" s="30" t="s">
        <v>168</v>
      </c>
      <c r="B90" s="34">
        <f>'China 1995'!$J13/IF('China 1995'!$K13=0,1,'China 1995'!$K13)</f>
        <v>0</v>
      </c>
      <c r="C90" s="34">
        <f>'China 2000'!$J13/IF('China 2000'!$K13=0,1,'China 2000'!$K13)</f>
        <v>0</v>
      </c>
      <c r="D90" s="34">
        <f>'China 2005'!$J13/IF('China 2005'!$K13=0,1,'China 2005'!$K13)</f>
        <v>1.585459720579687</v>
      </c>
      <c r="E90" s="34">
        <f>'China 2010'!$J13/IF('China 2010'!$K13=0,1,'China 2010'!$K13)</f>
        <v>1.9632132505175983</v>
      </c>
      <c r="F90" s="34">
        <f>'China 2015'!$J13/IF('China 2015'!$K13=0,1,'China 2015'!$K13)</f>
        <v>1.7806588684073927</v>
      </c>
      <c r="G90" s="34">
        <f>'China 2018'!$J13/IF('China 2018'!$K13=0,1,'China 2018'!$K13)</f>
        <v>1.6695027918106886</v>
      </c>
      <c r="H90" s="78">
        <f t="shared" si="1"/>
        <v>1.6695027918106886</v>
      </c>
      <c r="I90" s="78">
        <f t="shared" si="1"/>
        <v>1.6695027918106886</v>
      </c>
    </row>
    <row r="91" spans="1:9" ht="18.75" customHeight="1" x14ac:dyDescent="0.35">
      <c r="A91" s="32" t="s">
        <v>169</v>
      </c>
      <c r="B91" s="82"/>
      <c r="C91" s="82"/>
      <c r="D91" s="82"/>
      <c r="E91" s="82"/>
      <c r="F91" s="82"/>
      <c r="G91" s="82"/>
      <c r="H91" s="33"/>
      <c r="I91" s="33"/>
    </row>
    <row r="92" spans="1:9" x14ac:dyDescent="0.35">
      <c r="A92" s="30" t="s">
        <v>170</v>
      </c>
      <c r="B92" s="40">
        <v>1</v>
      </c>
      <c r="C92" s="40">
        <v>1</v>
      </c>
      <c r="D92" s="40">
        <v>1</v>
      </c>
      <c r="E92" s="40">
        <v>1</v>
      </c>
      <c r="F92" s="40">
        <v>1</v>
      </c>
      <c r="G92" s="40">
        <v>1</v>
      </c>
      <c r="H92" s="77">
        <f t="shared" si="1"/>
        <v>1</v>
      </c>
      <c r="I92" s="77">
        <f t="shared" si="1"/>
        <v>1</v>
      </c>
    </row>
    <row r="93" spans="1:9" x14ac:dyDescent="0.35">
      <c r="A93" s="32" t="s">
        <v>171</v>
      </c>
      <c r="B93" s="82"/>
      <c r="C93" s="82"/>
      <c r="D93" s="82"/>
      <c r="E93" s="82"/>
      <c r="F93" s="82"/>
      <c r="G93" s="82"/>
      <c r="H93" s="42"/>
      <c r="I93" s="42"/>
    </row>
    <row r="94" spans="1:9" x14ac:dyDescent="0.35">
      <c r="A94" s="30" t="s">
        <v>172</v>
      </c>
      <c r="B94" s="40">
        <f>'China 1995'!$G12/'China 1995'!$J12*-1</f>
        <v>0.18398922135519002</v>
      </c>
      <c r="C94" s="40">
        <f>'China 2000'!$G12/'China 2000'!$J12*-1</f>
        <v>0.16034745862190397</v>
      </c>
      <c r="D94" s="40">
        <f>'China 2005'!$G12/'China 2005'!$J12*-1</f>
        <v>0.24521945262552977</v>
      </c>
      <c r="E94" s="40">
        <f>'China 2010'!$G12/'China 2010'!$J12*-1</f>
        <v>0.24899251817537918</v>
      </c>
      <c r="F94" s="40">
        <f>'China 2015'!$G12/'China 2015'!$J12*-1</f>
        <v>0.26750281943343346</v>
      </c>
      <c r="G94" s="40">
        <f>'China 2018'!$G12/'China 2018'!$J12*-1</f>
        <v>0.23000635727908456</v>
      </c>
      <c r="H94" s="77">
        <f t="shared" si="1"/>
        <v>0.23000635727908456</v>
      </c>
      <c r="I94" s="77">
        <f t="shared" si="1"/>
        <v>0.23000635727908456</v>
      </c>
    </row>
    <row r="95" spans="1:9" x14ac:dyDescent="0.35">
      <c r="A95" s="30" t="s">
        <v>145</v>
      </c>
      <c r="B95" s="40">
        <f>'China 1995'!$H12/'China 1995'!$J12*-1</f>
        <v>7.8594285072699713E-5</v>
      </c>
      <c r="C95" s="40">
        <f>'China 2000'!$H12/'China 2000'!$J12*-1</f>
        <v>4.6115405899418109E-4</v>
      </c>
      <c r="D95" s="40">
        <f>'China 2005'!$H12/'China 2005'!$J12*-1</f>
        <v>2.0185331513540693E-3</v>
      </c>
      <c r="E95" s="40">
        <f>'China 2010'!$H12/'China 2010'!$J12*-1</f>
        <v>1.630695834113538E-2</v>
      </c>
      <c r="F95" s="40">
        <f>'China 2015'!$H12/'China 2015'!$J12*-1</f>
        <v>5.5660082405618767E-2</v>
      </c>
      <c r="G95" s="40">
        <f>'China 2018'!$H12/'China 2018'!$J12*-1</f>
        <v>0.1045069762773112</v>
      </c>
      <c r="H95" s="77">
        <f t="shared" si="1"/>
        <v>0.1045069762773112</v>
      </c>
      <c r="I95" s="77">
        <f t="shared" si="1"/>
        <v>0.1045069762773112</v>
      </c>
    </row>
    <row r="96" spans="1:9" x14ac:dyDescent="0.35">
      <c r="A96" s="30" t="s">
        <v>173</v>
      </c>
      <c r="B96" s="40">
        <f t="shared" ref="B96:G96" si="2">1-B94-B95</f>
        <v>0.81593218435973724</v>
      </c>
      <c r="C96" s="40">
        <f t="shared" si="2"/>
        <v>0.83919138731910181</v>
      </c>
      <c r="D96" s="40">
        <f t="shared" si="2"/>
        <v>0.75276201422311617</v>
      </c>
      <c r="E96" s="40">
        <f t="shared" si="2"/>
        <v>0.73470052348348547</v>
      </c>
      <c r="F96" s="40">
        <f t="shared" si="2"/>
        <v>0.67683709816094773</v>
      </c>
      <c r="G96" s="40">
        <f t="shared" si="2"/>
        <v>0.66548666644360421</v>
      </c>
      <c r="H96" s="89">
        <f>1-H95-H94</f>
        <v>0.66548666644360421</v>
      </c>
      <c r="I96" s="89">
        <f>1-I95-I94</f>
        <v>0.66548666644360421</v>
      </c>
    </row>
    <row r="97" spans="1:9" x14ac:dyDescent="0.35">
      <c r="A97" s="32" t="s">
        <v>174</v>
      </c>
      <c r="B97" s="82"/>
      <c r="C97" s="82"/>
      <c r="D97" s="82"/>
      <c r="E97" s="82"/>
      <c r="F97" s="82"/>
      <c r="G97" s="82"/>
      <c r="H97" s="42"/>
      <c r="I97" s="42"/>
    </row>
    <row r="98" spans="1:9" x14ac:dyDescent="0.35">
      <c r="A98" s="30" t="s">
        <v>145</v>
      </c>
      <c r="B98" s="40">
        <f>'China 1995'!$H13/IF(('China 1995'!$J13+'China 1995'!$K13)=0,1,('China 1995'!$J13+'China 1995'!$K13))*-1</f>
        <v>0</v>
      </c>
      <c r="C98" s="40">
        <f>'China 2000'!$H13/IF(('China 2000'!$J13+'China 2000'!$K13)=0,1,('China 2000'!$J13+'China 2000'!$K13))*-1</f>
        <v>0</v>
      </c>
      <c r="D98" s="40">
        <f>'China 2005'!$H13/IF(('China 2005'!$J13+'China 2005'!$K13)=0,1,('China 2005'!$J13+'China 2005'!$K13))*-1</f>
        <v>0</v>
      </c>
      <c r="E98" s="40">
        <f>'China 2010'!$H13/IF(('China 2010'!$J13+'China 2010'!$K13)=0,1,('China 2010'!$J13+'China 2010'!$K13))*-1</f>
        <v>0</v>
      </c>
      <c r="F98" s="40">
        <f>'China 2015'!$H13/IF(('China 2015'!$J13+'China 2015'!$K13)=0,1,('China 2015'!$J13+'China 2015'!$K13))*-1</f>
        <v>0</v>
      </c>
      <c r="G98" s="40">
        <f>'China 2018'!$H13/IF(('China 2018'!$J13+'China 2018'!$K13)=0,1,('China 2018'!$J13+'China 2018'!$K13))*-1</f>
        <v>0</v>
      </c>
      <c r="H98" s="77">
        <f t="shared" si="1"/>
        <v>0</v>
      </c>
      <c r="I98" s="77">
        <f t="shared" si="1"/>
        <v>0</v>
      </c>
    </row>
    <row r="99" spans="1:9" x14ac:dyDescent="0.35">
      <c r="A99" s="30" t="s">
        <v>173</v>
      </c>
      <c r="B99" s="40">
        <f t="shared" ref="B99:G99" si="3">1-B98</f>
        <v>1</v>
      </c>
      <c r="C99" s="40">
        <f t="shared" si="3"/>
        <v>1</v>
      </c>
      <c r="D99" s="40">
        <f t="shared" si="3"/>
        <v>1</v>
      </c>
      <c r="E99" s="40">
        <f t="shared" si="3"/>
        <v>1</v>
      </c>
      <c r="F99" s="40">
        <f t="shared" si="3"/>
        <v>1</v>
      </c>
      <c r="G99" s="40">
        <f t="shared" si="3"/>
        <v>1</v>
      </c>
      <c r="H99" s="89">
        <f>1-H98</f>
        <v>1</v>
      </c>
      <c r="I99" s="89">
        <f>1-I98</f>
        <v>1</v>
      </c>
    </row>
    <row r="100" spans="1:9" x14ac:dyDescent="0.35">
      <c r="A100" s="32" t="s">
        <v>175</v>
      </c>
      <c r="B100" s="82"/>
      <c r="C100" s="82"/>
      <c r="D100" s="82"/>
      <c r="E100" s="82"/>
      <c r="F100" s="82"/>
      <c r="G100" s="82"/>
      <c r="H100" s="42"/>
      <c r="I100" s="42"/>
    </row>
    <row r="101" spans="1:9" x14ac:dyDescent="0.35">
      <c r="A101" s="30" t="s">
        <v>145</v>
      </c>
      <c r="B101" s="40">
        <f>'China 1995'!$H14/IF('China 1995'!$K14=0,1,'China 1995'!$K14)*-1</f>
        <v>0</v>
      </c>
      <c r="C101" s="40">
        <f>'China 2000'!$H14/IF('China 2000'!$K14=0,1,'China 2000'!$K14)*-1</f>
        <v>0</v>
      </c>
      <c r="D101" s="40">
        <f>'China 2005'!$H14/IF('China 2005'!$K14=0,1,'China 2005'!$K14)*-1</f>
        <v>0</v>
      </c>
      <c r="E101" s="40">
        <f>'China 2010'!$H14/IF('China 2010'!$K14=0,1,'China 2010'!$K14)*-1</f>
        <v>0</v>
      </c>
      <c r="F101" s="40">
        <f>'China 2015'!$H14/IF('China 2015'!$K14=0,1,'China 2015'!$K14)*-1</f>
        <v>0</v>
      </c>
      <c r="G101" s="40">
        <f>'China 2018'!$H14/IF('China 2018'!$K14=0,1,'China 2018'!$K14)*-1</f>
        <v>0</v>
      </c>
      <c r="H101" s="77">
        <f t="shared" si="1"/>
        <v>0</v>
      </c>
      <c r="I101" s="77">
        <f t="shared" si="1"/>
        <v>0</v>
      </c>
    </row>
    <row r="102" spans="1:9" x14ac:dyDescent="0.35">
      <c r="A102" s="30" t="s">
        <v>173</v>
      </c>
      <c r="B102" s="40">
        <f t="shared" ref="B102:G102" si="4">1-B101</f>
        <v>1</v>
      </c>
      <c r="C102" s="40">
        <f t="shared" si="4"/>
        <v>1</v>
      </c>
      <c r="D102" s="40">
        <f t="shared" si="4"/>
        <v>1</v>
      </c>
      <c r="E102" s="40">
        <f t="shared" si="4"/>
        <v>1</v>
      </c>
      <c r="F102" s="40">
        <f t="shared" si="4"/>
        <v>1</v>
      </c>
      <c r="G102" s="40">
        <f t="shared" si="4"/>
        <v>1</v>
      </c>
      <c r="H102" s="89">
        <f>1-H101</f>
        <v>1</v>
      </c>
      <c r="I102" s="89">
        <f>1-I101</f>
        <v>1</v>
      </c>
    </row>
    <row r="103" spans="1:9" x14ac:dyDescent="0.35">
      <c r="A103" s="31" t="s">
        <v>176</v>
      </c>
      <c r="B103" s="81"/>
      <c r="C103" s="81"/>
      <c r="D103" s="81"/>
      <c r="E103" s="81"/>
      <c r="F103" s="81"/>
      <c r="G103" s="81"/>
      <c r="H103" s="42"/>
      <c r="I103" s="42"/>
    </row>
    <row r="104" spans="1:9" x14ac:dyDescent="0.35">
      <c r="A104" s="30" t="s">
        <v>177</v>
      </c>
      <c r="B104" s="40">
        <f>('China 1995'!$J12+'China 1995'!$G12+'China 1995'!$H12)/('China 1995'!$B12+'China 1995'!$D12+'China 1995'!$E12+'China 1995'!$F12+'China 1995'!$I12)*-1</f>
        <v>0.30349513671083789</v>
      </c>
      <c r="C104" s="40">
        <f>('China 2000'!$J12+'China 2000'!$G12+'China 2000'!$H12)/('China 2000'!$B12+'China 2000'!$D12+'China 2000'!$E12+'China 2000'!$F12+'China 2000'!$I12)*-1</f>
        <v>0.32471004266225445</v>
      </c>
      <c r="D104" s="40">
        <f>('China 2005'!$J12+'China 2005'!$G12+'China 2005'!$H12)/('China 2005'!$B12+'China 2005'!$D12+'China 2005'!$E12+'China 2005'!$F12+'China 2005'!$I12)*-1</f>
        <v>0.32488606417609672</v>
      </c>
      <c r="E104" s="40">
        <f>('China 2010'!$J12+'China 2010'!$G12+'China 2010'!$H12)/('China 2010'!$B12+'China 2010'!$D12+'China 2010'!$E12+'China 2010'!$F12+'China 2010'!$I12)*-1</f>
        <v>0.36376461957365164</v>
      </c>
      <c r="F104" s="40">
        <f>('China 2015'!$J12+'China 2015'!$G12+'China 2015'!$H12)/('China 2015'!$B12+'China 2015'!$D12+'China 2015'!$E12+'China 2015'!$F12+'China 2015'!$I12)*-1</f>
        <v>0.37842056058721346</v>
      </c>
      <c r="G104" s="40">
        <f>('China 2018'!$J12+'China 2018'!$G12+'China 2018'!$H12)/('China 2018'!$B12+'China 2018'!$D12+'China 2018'!$E12+'China 2018'!$F12+'China 2018'!$I12)*-1</f>
        <v>0.38312602253493633</v>
      </c>
      <c r="H104" s="77">
        <f t="shared" si="1"/>
        <v>0.38312602253493633</v>
      </c>
      <c r="I104" s="77">
        <f t="shared" si="1"/>
        <v>0.38312602253493633</v>
      </c>
    </row>
    <row r="105" spans="1:9" x14ac:dyDescent="0.35">
      <c r="A105" s="30" t="s">
        <v>163</v>
      </c>
      <c r="B105" s="40">
        <f>('China 1995'!$J13+'China 1995'!$K13+'China 1995'!$H13)/IF(('China 1995'!$B13+'China 1995'!$D13+'China 1995'!$E13+'China 1995'!$F13+'China 1995'!$I13)=0,1,('China 1995'!$B13+'China 1995'!$D13+'China 1995'!$E13+'China 1995'!$F13+'China 1995'!$I13))*-1</f>
        <v>0</v>
      </c>
      <c r="C105" s="40">
        <f>('China 2000'!$J13+'China 2000'!$K13+'China 2000'!$H13)/IF(('China 2000'!$B13+'China 2000'!$D13+'China 2000'!$E13+'China 2000'!$F13+'China 2000'!$I13)=0,1,('China 2000'!$B13+'China 2000'!$D13+'China 2000'!$E13+'China 2000'!$F13+'China 2000'!$I13))*-1</f>
        <v>0</v>
      </c>
      <c r="D105" s="40">
        <f>('China 2005'!$J13+'China 2005'!$K13+'China 2005'!$H13)/IF(('China 2005'!$B13+'China 2005'!$D13+'China 2005'!$E13+'China 2005'!$F13+'China 2005'!$I13)=0,1,('China 2005'!$B13+'China 2005'!$D13+'China 2005'!$E13+'China 2005'!$F13+'China 2005'!$I13))*-1</f>
        <v>0.45920957538084711</v>
      </c>
      <c r="E105" s="40">
        <f>('China 2010'!$J13+'China 2010'!$K13+'China 2010'!$H13)/IF(('China 2010'!$B13+'China 2010'!$D13+'China 2010'!$E13+'China 2010'!$F13+'China 2010'!$I13)=0,1,('China 2010'!$B13+'China 2010'!$D13+'China 2010'!$E13+'China 2010'!$F13+'China 2010'!$I13))*-1</f>
        <v>0.46851905198376326</v>
      </c>
      <c r="F105" s="40">
        <f>('China 2015'!$J13+'China 2015'!$K13+'China 2015'!$H13)/IF(('China 2015'!$B13+'China 2015'!$D13+'China 2015'!$E13+'China 2015'!$F13+'China 2015'!$I13)=0,1,('China 2015'!$B13+'China 2015'!$D13+'China 2015'!$E13+'China 2015'!$F13+'China 2015'!$I13))*-1</f>
        <v>0.49895269472621684</v>
      </c>
      <c r="G105" s="40">
        <f>('China 2018'!$J13+'China 2018'!$K13+'China 2018'!$H13)/IF(('China 2018'!$B13+'China 2018'!$D13+'China 2018'!$E13+'China 2018'!$F13+'China 2018'!$I13)=0,1,('China 2018'!$B13+'China 2018'!$D13+'China 2018'!$E13+'China 2018'!$F13+'China 2018'!$I13))*-1</f>
        <v>0.50826197578687049</v>
      </c>
      <c r="H105" s="77">
        <f t="shared" si="1"/>
        <v>0.50826197578687049</v>
      </c>
      <c r="I105" s="77">
        <f t="shared" si="1"/>
        <v>0.50826197578687049</v>
      </c>
    </row>
    <row r="106" spans="1:9" x14ac:dyDescent="0.35">
      <c r="A106" s="30" t="s">
        <v>178</v>
      </c>
      <c r="B106" s="40">
        <f>('China 1995'!$K14+'China 1995'!$H14)/IF(('China 1995'!$B14+'China 1995'!$D14+'China 1995'!$E14+'China 1995'!$I14)=0,1,('China 1995'!$B14+'China 1995'!$D14+'China 1995'!$E14+'China 1995'!$I14))*-1</f>
        <v>0.79183547239832996</v>
      </c>
      <c r="C106" s="40">
        <f>('China 2000'!$K14+'China 2000'!$H14)/IF(('China 2000'!$B14+'China 2000'!$D14+'China 2000'!$E14+'China 2000'!$I14)=0,1,('China 2000'!$B14+'China 2000'!$D14+'China 2000'!$E14+'China 2000'!$I14))*-1</f>
        <v>0.68266541493086119</v>
      </c>
      <c r="D106" s="40">
        <f>('China 2005'!$K14+'China 2005'!$H14)/IF(('China 2005'!$B14+'China 2005'!$D14+'China 2005'!$E14+'China 2005'!$I14)=0,1,('China 2005'!$B14+'China 2005'!$D14+'China 2005'!$E14+'China 2005'!$I14))*-1</f>
        <v>0.85316681534344341</v>
      </c>
      <c r="E106" s="40">
        <f>('China 2010'!$K14+'China 2010'!$H14)/IF(('China 2010'!$B14+'China 2010'!$D14+'China 2010'!$E14+'China 2010'!$I14)=0,1,('China 2010'!$B14+'China 2010'!$D14+'China 2010'!$E14+'China 2010'!$I14))*-1</f>
        <v>0.86585008068065128</v>
      </c>
      <c r="F106" s="40">
        <f>('China 2015'!$K14+'China 2015'!$H14)/IF(('China 2015'!$B14+'China 2015'!$D14+'China 2015'!$E14+'China 2015'!$I14)=0,1,('China 2015'!$B14+'China 2015'!$D14+'China 2015'!$E14+'China 2015'!$I14))*-1</f>
        <v>0.87254901960784315</v>
      </c>
      <c r="G106" s="40">
        <f>('China 2018'!$K14+'China 2018'!$H14)/IF(('China 2018'!$B14+'China 2018'!$D14+'China 2018'!$E14+'China 2018'!$I14)=0,1,('China 2018'!$B14+'China 2018'!$D14+'China 2018'!$E14+'China 2018'!$I14))*-1</f>
        <v>0.86889153754469606</v>
      </c>
      <c r="H106" s="77">
        <f t="shared" si="1"/>
        <v>0.86889153754469606</v>
      </c>
      <c r="I106" s="77">
        <f t="shared" si="1"/>
        <v>0.86889153754469606</v>
      </c>
    </row>
    <row r="107" spans="1:9" x14ac:dyDescent="0.35">
      <c r="A107" s="30" t="s">
        <v>170</v>
      </c>
      <c r="B107" s="40">
        <f>'China 1995'!$D16/IF('China 1995'!$C16=0,1,'China 1995'!$C16)*-1</f>
        <v>0.98924993381359116</v>
      </c>
      <c r="C107" s="40">
        <f>'China 2000'!$D16/IF('China 2000'!$C16=0,1,'China 2000'!$C16)*-1</f>
        <v>0.98483154644353932</v>
      </c>
      <c r="D107" s="40">
        <f>'China 2005'!$D16/IF('China 2005'!$C16=0,1,'China 2005'!$C16)*-1</f>
        <v>0.98255539677347148</v>
      </c>
      <c r="E107" s="40">
        <f>'China 2010'!$D16/IF('China 2010'!$C16=0,1,'China 2010'!$C16)*-1</f>
        <v>0.96524066722650581</v>
      </c>
      <c r="F107" s="40">
        <f>'China 2015'!$D16/IF('China 2015'!$C16=0,1,'China 2015'!$C16)*-1</f>
        <v>0.9705226602361563</v>
      </c>
      <c r="G107" s="40">
        <f>'China 2018'!$D16/IF('China 2018'!$C16=0,1,'China 2018'!$C16)*-1</f>
        <v>0.97416028549972078</v>
      </c>
      <c r="H107" s="77">
        <f t="shared" si="1"/>
        <v>0.97416028549972078</v>
      </c>
      <c r="I107" s="77">
        <f t="shared" si="1"/>
        <v>0.97416028549972078</v>
      </c>
    </row>
    <row r="108" spans="1:9" x14ac:dyDescent="0.35">
      <c r="A108" s="32" t="s">
        <v>179</v>
      </c>
      <c r="B108" s="82"/>
      <c r="C108" s="82"/>
      <c r="D108" s="82"/>
      <c r="E108" s="82"/>
      <c r="F108" s="82"/>
      <c r="G108" s="82"/>
      <c r="H108" s="42"/>
      <c r="I108" s="42"/>
    </row>
    <row r="109" spans="1:9" x14ac:dyDescent="0.35">
      <c r="A109" s="30" t="s">
        <v>141</v>
      </c>
      <c r="B109" s="40">
        <f>'China 1995'!$B12/('China 1995'!$L12-'China 1995'!$J12-'China 1995'!$G12-'China 1995'!$H12)</f>
        <v>0.92195766093759113</v>
      </c>
      <c r="C109" s="40">
        <f>'China 2000'!$B12/('China 2000'!$L12-'China 2000'!$J12-'China 2000'!$G12-'China 2000'!$H12)</f>
        <v>0.9334551984082049</v>
      </c>
      <c r="D109" s="40">
        <f>'China 2005'!$B12/('China 2005'!$L12-'China 2005'!$J12-'China 2005'!$G12-'China 2005'!$H12)</f>
        <v>0.90209714425491461</v>
      </c>
      <c r="E109" s="40">
        <f>'China 2010'!$B12/('China 2010'!$L12-'China 2010'!$J12-'China 2010'!$G12-'China 2010'!$H12)</f>
        <v>0.90317711429751812</v>
      </c>
      <c r="F109" s="40">
        <f>'China 2015'!$B12/('China 2015'!$L12-'China 2015'!$J12-'China 2015'!$G12-'China 2015'!$H12)</f>
        <v>0.86687420515101155</v>
      </c>
      <c r="G109" s="40">
        <f>'China 2018'!$B12/('China 2018'!$L12-'China 2018'!$J12-'China 2018'!$G12-'China 2018'!$H12)</f>
        <v>0.81964830469303696</v>
      </c>
      <c r="H109" s="89">
        <f>1-H110-H111-H112-H113-H114</f>
        <v>0.81964702075865115</v>
      </c>
      <c r="I109" s="89">
        <f>1-I110-I111-I112-I113-I114</f>
        <v>0.81964702075865115</v>
      </c>
    </row>
    <row r="110" spans="1:9" x14ac:dyDescent="0.35">
      <c r="A110" s="30" t="s">
        <v>142</v>
      </c>
      <c r="B110" s="40">
        <f>'China 1995'!$C12/('China 1995'!$L12-'China 1995'!$J12-'China 1995'!$G12-'China 1995'!$H12)</f>
        <v>2.5660037823562248E-3</v>
      </c>
      <c r="C110" s="40">
        <f>'China 2000'!$C12/('China 2000'!$L12-'China 2000'!$J12-'China 2000'!$G12-'China 2000'!$H12)</f>
        <v>2.7500525745345131E-3</v>
      </c>
      <c r="D110" s="40">
        <f>'China 2005'!$C12/('China 2005'!$L12-'China 2005'!$J12-'China 2005'!$G12-'China 2005'!$H12)</f>
        <v>1.2787842570201541E-3</v>
      </c>
      <c r="E110" s="40">
        <f>'China 2010'!$C12/('China 2010'!$L12-'China 2010'!$J12-'China 2010'!$G12-'China 2010'!$H12)</f>
        <v>7.4565955603026981E-5</v>
      </c>
      <c r="F110" s="40">
        <f>'China 2015'!$C12/('China 2015'!$L12-'China 2015'!$J12-'China 2015'!$G12-'China 2015'!$H12)</f>
        <v>1.9505496648955677E-4</v>
      </c>
      <c r="G110" s="40">
        <f>'China 2018'!$C12/('China 2018'!$L12-'China 2018'!$J12-'China 2018'!$G12-'China 2018'!$H12)</f>
        <v>1.9900982980165783E-4</v>
      </c>
      <c r="H110" s="77">
        <f t="shared" si="1"/>
        <v>1.9900982980165783E-4</v>
      </c>
      <c r="I110" s="77">
        <f t="shared" si="1"/>
        <v>1.9900982980165783E-4</v>
      </c>
    </row>
    <row r="111" spans="1:9" x14ac:dyDescent="0.35">
      <c r="A111" s="30" t="s">
        <v>143</v>
      </c>
      <c r="B111" s="40">
        <f>'China 1995'!$D12/('China 1995'!$L12-'China 1995'!$J12-'China 1995'!$G12-'China 1995'!$H12)</f>
        <v>5.4535911556181323E-2</v>
      </c>
      <c r="C111" s="40">
        <f>'China 2000'!$D12/('China 2000'!$L12-'China 2000'!$J12-'China 2000'!$G12-'China 2000'!$H12)</f>
        <v>3.494184447643852E-2</v>
      </c>
      <c r="D111" s="40">
        <f>'China 2005'!$D12/('China 2005'!$L12-'China 2005'!$J12-'China 2005'!$G12-'China 2005'!$H12)</f>
        <v>3.7261234259032772E-2</v>
      </c>
      <c r="E111" s="40">
        <f>'China 2010'!$D12/('China 2010'!$L12-'China 2010'!$J12-'China 2010'!$G12-'China 2010'!$H12)</f>
        <v>7.3558307554337423E-3</v>
      </c>
      <c r="F111" s="40">
        <f>'China 2015'!$D12/('China 2015'!$L12-'China 2015'!$J12-'China 2015'!$G12-'China 2015'!$H12)</f>
        <v>3.6139784191185076E-3</v>
      </c>
      <c r="G111" s="40">
        <f>'China 2018'!$D12/('China 2018'!$L12-'China 2018'!$J12-'China 2018'!$G12-'China 2018'!$H12)</f>
        <v>3.2920077652351656E-3</v>
      </c>
      <c r="H111" s="77">
        <f t="shared" si="1"/>
        <v>3.2920077652351656E-3</v>
      </c>
      <c r="I111" s="77">
        <f t="shared" si="1"/>
        <v>3.2920077652351656E-3</v>
      </c>
    </row>
    <row r="112" spans="1:9" x14ac:dyDescent="0.35">
      <c r="A112" s="30" t="s">
        <v>241</v>
      </c>
      <c r="B112" s="40">
        <f>'China 1995'!$E12/('China 1995'!$L12-'China 1995'!$J12-'China 1995'!$G12-'China 1995'!$H12)</f>
        <v>2.8659263023718871E-3</v>
      </c>
      <c r="C112" s="40">
        <f>'China 2000'!$E12/('China 2000'!$L12-'China 2000'!$J12-'China 2000'!$G12-'China 2000'!$H12)</f>
        <v>1.2048465632431208E-2</v>
      </c>
      <c r="D112" s="40">
        <f>'China 2005'!$E12/('China 2005'!$L12-'China 2005'!$J12-'China 2005'!$G12-'China 2005'!$H12)</f>
        <v>1.0991971216517063E-2</v>
      </c>
      <c r="E112" s="40">
        <f>'China 2010'!$E12/('China 2010'!$L12-'China 2010'!$J12-'China 2010'!$G12-'China 2010'!$H12)</f>
        <v>2.7121854878528029E-2</v>
      </c>
      <c r="F112" s="40">
        <f>'China 2015'!$E12/('China 2015'!$L12-'China 2015'!$J12-'China 2015'!$G12-'China 2015'!$H12)</f>
        <v>2.566923359002567E-2</v>
      </c>
      <c r="G112" s="40">
        <f>'China 2018'!$E12/('China 2018'!$L12-'China 2018'!$J12-'China 2018'!$G12-'China 2018'!$H12)</f>
        <v>3.2244728165411837E-2</v>
      </c>
      <c r="H112" s="77">
        <f t="shared" si="1"/>
        <v>3.2244728165411837E-2</v>
      </c>
      <c r="I112" s="77">
        <f t="shared" si="1"/>
        <v>3.2244728165411837E-2</v>
      </c>
    </row>
    <row r="113" spans="1:11" x14ac:dyDescent="0.35">
      <c r="A113" s="30" t="s">
        <v>180</v>
      </c>
      <c r="B113" s="40">
        <f>'China 1995'!$F12/('China 1995'!$L12-'China 1995'!$J12-'China 1995'!$G12-'China 1995'!$H12)</f>
        <v>1.3929734818505219E-2</v>
      </c>
      <c r="C113" s="40">
        <f>'China 2000'!$F12/('China 2000'!$L12-'China 2000'!$J12-'China 2000'!$G12-'China 2000'!$H12)</f>
        <v>1.4109387385347073E-2</v>
      </c>
      <c r="D113" s="40">
        <f>'China 2005'!$F12/('China 2005'!$L12-'China 2005'!$J12-'China 2005'!$G12-'China 2005'!$H12)</f>
        <v>4.2831531785374792E-2</v>
      </c>
      <c r="E113" s="40">
        <f>'China 2010'!$F12/('China 2010'!$L12-'China 2010'!$J12-'China 2010'!$G12-'China 2010'!$H12)</f>
        <v>3.8794449874547818E-2</v>
      </c>
      <c r="F113" s="40">
        <f>'China 2015'!$F12/('China 2015'!$L12-'China 2015'!$J12-'China 2015'!$G12-'China 2015'!$H12)</f>
        <v>6.9441128510014119E-2</v>
      </c>
      <c r="G113" s="40">
        <f>'China 2018'!$F12/('China 2018'!$L12-'China 2018'!$J12-'China 2018'!$G12-'China 2018'!$H12)</f>
        <v>9.8689616565835026E-2</v>
      </c>
      <c r="H113" s="77">
        <f t="shared" si="1"/>
        <v>9.8689616565835026E-2</v>
      </c>
      <c r="I113" s="77">
        <f t="shared" si="1"/>
        <v>9.8689616565835026E-2</v>
      </c>
    </row>
    <row r="114" spans="1:11" x14ac:dyDescent="0.35">
      <c r="A114" s="30" t="s">
        <v>146</v>
      </c>
      <c r="B114" s="40">
        <f>'China 1995'!$I12/('China 1995'!$L12-'China 1995'!$J12-'China 1995'!$G12-'China 1995'!$H12)</f>
        <v>4.1489281935499995E-3</v>
      </c>
      <c r="C114" s="40">
        <f>'China 2000'!$I12/('China 2000'!$L12-'China 2000'!$J12-'China 2000'!$G12-'China 2000'!$H12)</f>
        <v>2.6950515230438231E-3</v>
      </c>
      <c r="D114" s="40">
        <f>'China 2005'!$I12/('China 2005'!$L12-'China 2005'!$J12-'China 2005'!$G12-'China 2005'!$H12)</f>
        <v>5.5393342271405702E-3</v>
      </c>
      <c r="E114" s="40">
        <f>'China 2010'!$I12/('China 2010'!$L12-'China 2010'!$J12-'China 2010'!$G12-'China 2010'!$H12)</f>
        <v>2.3474168942271844E-2</v>
      </c>
      <c r="F114" s="40">
        <f>'China 2015'!$I12/('China 2015'!$L12-'China 2015'!$J12-'China 2015'!$G12-'China 2015'!$H12)</f>
        <v>3.4207959803072507E-2</v>
      </c>
      <c r="G114" s="40">
        <f>'China 2018'!$I12/('China 2018'!$L12-'China 2018'!$J12-'China 2018'!$G12-'China 2018'!$H12)</f>
        <v>4.5927616915065174E-2</v>
      </c>
      <c r="H114" s="77">
        <f t="shared" si="1"/>
        <v>4.5927616915065174E-2</v>
      </c>
      <c r="I114" s="77">
        <f t="shared" si="1"/>
        <v>4.5927616915065174E-2</v>
      </c>
    </row>
    <row r="115" spans="1:11" x14ac:dyDescent="0.35">
      <c r="A115" s="32" t="s">
        <v>181</v>
      </c>
      <c r="B115" s="82"/>
      <c r="C115" s="82"/>
      <c r="D115" s="82"/>
      <c r="E115" s="82"/>
      <c r="F115" s="82"/>
      <c r="G115" s="82"/>
      <c r="H115" s="42"/>
      <c r="I115" s="42"/>
    </row>
    <row r="116" spans="1:11" x14ac:dyDescent="0.35">
      <c r="A116" s="30" t="s">
        <v>141</v>
      </c>
      <c r="B116" s="40">
        <f>'China 1995'!$B13/IF(('China 1995'!$L13-'China 1995'!$J13-'China 1995'!$K13-'China 1995'!$G13-'China 1995'!$H13)=0,1,('China 1995'!$L13-'China 1995'!$J13-'China 1995'!$K13-'China 1995'!$G13-'China 1995'!$H13))</f>
        <v>0</v>
      </c>
      <c r="C116" s="40">
        <f>'China 2000'!$B13/IF(('China 2000'!$L13-'China 2000'!$J13-'China 2000'!$K13-'China 2000'!$G13-'China 2000'!$H13)=0,1,('China 2000'!$L13-'China 2000'!$J13-'China 2000'!$K13-'China 2000'!$G13-'China 2000'!$H13))</f>
        <v>0</v>
      </c>
      <c r="D116" s="40">
        <f>'China 2005'!$B13/IF(('China 2005'!$L13-'China 2005'!$J13-'China 2005'!$K13-'China 2005'!$G13-'China 2005'!$H13)=0,1,('China 2005'!$L13-'China 2005'!$J13-'China 2005'!$K13-'China 2005'!$G13-'China 2005'!$H13))</f>
        <v>0.9939121426053894</v>
      </c>
      <c r="E116" s="40">
        <f>'China 2010'!$B13/IF(('China 2010'!$L13-'China 2010'!$J13-'China 2010'!$K13-'China 2010'!$G13-'China 2010'!$H13)=0,1,('China 2010'!$L13-'China 2010'!$J13-'China 2010'!$K13-'China 2010'!$G13-'China 2010'!$H13))</f>
        <v>0.97982710443133281</v>
      </c>
      <c r="F116" s="40">
        <f>'China 2015'!$B13/IF(('China 2015'!$L13-'China 2015'!$J13-'China 2015'!$K13-'China 2015'!$G13-'China 2015'!$H13)=0,1,('China 2015'!$L13-'China 2015'!$J13-'China 2015'!$K13-'China 2015'!$G13-'China 2015'!$H13))</f>
        <v>0.96216921074121486</v>
      </c>
      <c r="G116" s="40">
        <f>'China 2018'!$B13/IF(('China 2018'!$L13-'China 2018'!$J13-'China 2018'!$K13-'China 2018'!$G13-'China 2018'!$H13)=0,1,('China 2018'!$L13-'China 2018'!$J13-'China 2018'!$K13-'China 2018'!$G13-'China 2018'!$H13))</f>
        <v>0.95304549016960849</v>
      </c>
      <c r="H116" s="89">
        <f>1-H117-H118-H119-H120-H121</f>
        <v>0.95304361521413872</v>
      </c>
      <c r="I116" s="89">
        <f>1-I117-I118-I119-I120-I121</f>
        <v>0.95304361521413872</v>
      </c>
    </row>
    <row r="117" spans="1:11" x14ac:dyDescent="0.35">
      <c r="A117" s="30" t="s">
        <v>142</v>
      </c>
      <c r="B117" s="40">
        <f>'China 1995'!$C13/IF(('China 1995'!$L13-'China 1995'!$J13-'China 1995'!$K13-'China 1995'!$G13-'China 1995'!$H13)=0,1,('China 1995'!$L13-'China 1995'!$J13-'China 1995'!$K13-'China 1995'!$G13-'China 1995'!$H13))</f>
        <v>0</v>
      </c>
      <c r="C117" s="40">
        <f>'China 2000'!$C13/IF(('China 2000'!$L13-'China 2000'!$J13-'China 2000'!$K13-'China 2000'!$G13-'China 2000'!$H13)=0,1,('China 2000'!$L13-'China 2000'!$J13-'China 2000'!$K13-'China 2000'!$G13-'China 2000'!$H13))</f>
        <v>0</v>
      </c>
      <c r="D117" s="40">
        <f>'China 2005'!$C13/IF(('China 2005'!$L13-'China 2005'!$J13-'China 2005'!$K13-'China 2005'!$G13-'China 2005'!$H13)=0,1,('China 2005'!$L13-'China 2005'!$J13-'China 2005'!$K13-'China 2005'!$G13-'China 2005'!$H13))</f>
        <v>0</v>
      </c>
      <c r="E117" s="40">
        <f>'China 2010'!$C13/IF(('China 2010'!$L13-'China 2010'!$J13-'China 2010'!$K13-'China 2010'!$G13-'China 2010'!$H13)=0,1,('China 2010'!$L13-'China 2010'!$J13-'China 2010'!$K13-'China 2010'!$G13-'China 2010'!$H13))</f>
        <v>0</v>
      </c>
      <c r="F117" s="40">
        <f>'China 2015'!$C13/IF(('China 2015'!$L13-'China 2015'!$J13-'China 2015'!$K13-'China 2015'!$G13-'China 2015'!$H13)=0,1,('China 2015'!$L13-'China 2015'!$J13-'China 2015'!$K13-'China 2015'!$G13-'China 2015'!$H13))</f>
        <v>0</v>
      </c>
      <c r="G117" s="40">
        <f>'China 2018'!$C13/IF(('China 2018'!$L13-'China 2018'!$J13-'China 2018'!$K13-'China 2018'!$G13-'China 2018'!$H13)=0,1,('China 2018'!$L13-'China 2018'!$J13-'China 2018'!$K13-'China 2018'!$G13-'China 2018'!$H13))</f>
        <v>0</v>
      </c>
      <c r="H117" s="77">
        <f t="shared" si="1"/>
        <v>0</v>
      </c>
      <c r="I117" s="77">
        <f t="shared" si="1"/>
        <v>0</v>
      </c>
    </row>
    <row r="118" spans="1:11" x14ac:dyDescent="0.35">
      <c r="A118" s="30" t="s">
        <v>143</v>
      </c>
      <c r="B118" s="40">
        <f>'China 1995'!$D13/IF('China 1995'!$L13-'China 1995'!$J13-'China 1995'!$K13-'China 1995'!$G13-'China 1995'!$H13=0,1,('China 1995'!$L13-'China 1995'!$J13-'China 1995'!$K13-'China 1995'!$G13-'China 1995'!$H13))</f>
        <v>0</v>
      </c>
      <c r="C118" s="40">
        <f>'China 2000'!$D13/IF('China 2000'!$L13-'China 2000'!$J13-'China 2000'!$K13-'China 2000'!$G13-'China 2000'!$H13=0,1,('China 2000'!$L13-'China 2000'!$J13-'China 2000'!$K13-'China 2000'!$G13-'China 2000'!$H13))</f>
        <v>0</v>
      </c>
      <c r="D118" s="40">
        <f>'China 2005'!$D13/IF('China 2005'!$L13-'China 2005'!$J13-'China 2005'!$K13-'China 2005'!$G13-'China 2005'!$H13=0,1,('China 2005'!$L13-'China 2005'!$J13-'China 2005'!$K13-'China 2005'!$G13-'China 2005'!$H13))</f>
        <v>0</v>
      </c>
      <c r="E118" s="40">
        <f>'China 2010'!$D13/IF('China 2010'!$L13-'China 2010'!$J13-'China 2010'!$K13-'China 2010'!$G13-'China 2010'!$H13=0,1,('China 2010'!$L13-'China 2010'!$J13-'China 2010'!$K13-'China 2010'!$G13-'China 2010'!$H13))</f>
        <v>0</v>
      </c>
      <c r="F118" s="40">
        <f>'China 2015'!$D13/IF('China 2015'!$L13-'China 2015'!$J13-'China 2015'!$K13-'China 2015'!$G13-'China 2015'!$H13=0,1,('China 2015'!$L13-'China 2015'!$J13-'China 2015'!$K13-'China 2015'!$G13-'China 2015'!$H13))</f>
        <v>0</v>
      </c>
      <c r="G118" s="40">
        <f>'China 2018'!$D13/IF('China 2018'!$L13-'China 2018'!$J13-'China 2018'!$K13-'China 2018'!$G13-'China 2018'!$H13=0,1,('China 2018'!$L13-'China 2018'!$J13-'China 2018'!$K13-'China 2018'!$G13-'China 2018'!$H13))</f>
        <v>0</v>
      </c>
      <c r="H118" s="77">
        <f t="shared" si="1"/>
        <v>0</v>
      </c>
      <c r="I118" s="77">
        <f t="shared" si="1"/>
        <v>0</v>
      </c>
    </row>
    <row r="119" spans="1:11" x14ac:dyDescent="0.35">
      <c r="A119" s="30" t="s">
        <v>241</v>
      </c>
      <c r="B119" s="40">
        <f>'China 1995'!$E13/IF(('China 1995'!$L13-'China 1995'!$J13-'China 1995'!$K13-'China 1995'!$G13-'China 1995'!$H13)=0,1,('China 1995'!$L13-'China 1995'!$J13-'China 1995'!$K13-'China 1995'!$G13-'China 1995'!$H13))</f>
        <v>0</v>
      </c>
      <c r="C119" s="40">
        <f>'China 2000'!$E13/IF(('China 2000'!$L13-'China 2000'!$J13-'China 2000'!$K13-'China 2000'!$G13-'China 2000'!$H13)=0,1,('China 2000'!$L13-'China 2000'!$J13-'China 2000'!$K13-'China 2000'!$G13-'China 2000'!$H13))</f>
        <v>0</v>
      </c>
      <c r="D119" s="40">
        <f>'China 2005'!$E13/IF(('China 2005'!$L13-'China 2005'!$J13-'China 2005'!$K13-'China 2005'!$G13-'China 2005'!$H13)=0,1,('China 2005'!$L13-'China 2005'!$J13-'China 2005'!$K13-'China 2005'!$G13-'China 2005'!$H13))</f>
        <v>6.087857394610644E-3</v>
      </c>
      <c r="E119" s="40">
        <f>'China 2010'!$E13/IF(('China 2010'!$L13-'China 2010'!$J13-'China 2010'!$K13-'China 2010'!$G13-'China 2010'!$H13)=0,1,('China 2010'!$L13-'China 2010'!$J13-'China 2010'!$K13-'China 2010'!$G13-'China 2010'!$H13))</f>
        <v>2.0047191429072748E-2</v>
      </c>
      <c r="F119" s="40">
        <f>'China 2015'!$E13/IF(('China 2015'!$L13-'China 2015'!$J13-'China 2015'!$K13-'China 2015'!$G13-'China 2015'!$H13)=0,1,('China 2015'!$L13-'China 2015'!$J13-'China 2015'!$K13-'China 2015'!$G13-'China 2015'!$H13))</f>
        <v>3.7657501933236727E-2</v>
      </c>
      <c r="G119" s="40">
        <f>'China 2018'!$E13/IF(('China 2018'!$L13-'China 2018'!$J13-'China 2018'!$K13-'China 2018'!$G13-'China 2018'!$H13)=0,1,('China 2018'!$L13-'China 2018'!$J13-'China 2018'!$K13-'China 2018'!$G13-'China 2018'!$H13))</f>
        <v>4.6780138971699421E-2</v>
      </c>
      <c r="H119" s="77">
        <f t="shared" si="1"/>
        <v>4.6780138971699421E-2</v>
      </c>
      <c r="I119" s="77">
        <f t="shared" si="1"/>
        <v>4.6780138971699421E-2</v>
      </c>
    </row>
    <row r="120" spans="1:11" x14ac:dyDescent="0.35">
      <c r="A120" s="30" t="s">
        <v>180</v>
      </c>
      <c r="B120" s="40">
        <f>'China 1995'!$F13/IF(('China 1995'!$L13-'China 1995'!$J13-'China 1995'!$K13-'China 1995'!$G13-'China 1995'!$H13)=0,1,('China 1995'!$L13-'China 1995'!$J13-'China 1995'!$K13-'China 1995'!$G13-'China 1995'!$H13))</f>
        <v>0</v>
      </c>
      <c r="C120" s="40">
        <f>'China 2000'!$F13/IF(('China 2000'!$L13-'China 2000'!$J13-'China 2000'!$K13-'China 2000'!$G13-'China 2000'!$H13)=0,1,('China 2000'!$L13-'China 2000'!$J13-'China 2000'!$K13-'China 2000'!$G13-'China 2000'!$H13))</f>
        <v>0</v>
      </c>
      <c r="D120" s="40">
        <f>'China 2005'!$F13/IF(('China 2005'!$L13-'China 2005'!$J13-'China 2005'!$K13-'China 2005'!$G13-'China 2005'!$H13)=0,1,('China 2005'!$L13-'China 2005'!$J13-'China 2005'!$K13-'China 2005'!$G13-'China 2005'!$H13))</f>
        <v>0</v>
      </c>
      <c r="E120" s="40">
        <f>'China 2010'!$F13/IF(('China 2010'!$L13-'China 2010'!$J13-'China 2010'!$K13-'China 2010'!$G13-'China 2010'!$H13)=0,1,('China 2010'!$L13-'China 2010'!$J13-'China 2010'!$K13-'China 2010'!$G13-'China 2010'!$H13))</f>
        <v>0</v>
      </c>
      <c r="F120" s="40">
        <f>'China 2015'!$F13/IF(('China 2015'!$L13-'China 2015'!$J13-'China 2015'!$K13-'China 2015'!$G13-'China 2015'!$H13)=0,1,('China 2015'!$L13-'China 2015'!$J13-'China 2015'!$K13-'China 2015'!$G13-'China 2015'!$H13))</f>
        <v>0</v>
      </c>
      <c r="G120" s="40">
        <f>'China 2018'!$F13/IF(('China 2018'!$L13-'China 2018'!$J13-'China 2018'!$K13-'China 2018'!$G13-'China 2018'!$H13)=0,1,('China 2018'!$L13-'China 2018'!$J13-'China 2018'!$K13-'China 2018'!$G13-'China 2018'!$H13))</f>
        <v>0</v>
      </c>
      <c r="H120" s="77">
        <f t="shared" si="1"/>
        <v>0</v>
      </c>
      <c r="I120" s="77">
        <f t="shared" si="1"/>
        <v>0</v>
      </c>
    </row>
    <row r="121" spans="1:11" x14ac:dyDescent="0.35">
      <c r="A121" s="30" t="s">
        <v>146</v>
      </c>
      <c r="B121" s="40">
        <f>'China 1995'!$I13/IF(('China 1995'!$L13-'China 1995'!$J13-'China 1995'!$K13-'China 1995'!$G13-'China 1995'!$H13)=0,1,('China 1995'!$L13-'China 1995'!$J13-'China 1995'!$K13-'China 1995'!$G13-'China 1995'!$H13))</f>
        <v>0</v>
      </c>
      <c r="C121" s="40">
        <f>'China 2000'!$I13/IF(('China 2000'!$L13-'China 2000'!$J13-'China 2000'!$K13-'China 2000'!$G13-'China 2000'!$H13)=0,1,('China 2000'!$L13-'China 2000'!$J13-'China 2000'!$K13-'China 2000'!$G13-'China 2000'!$H13))</f>
        <v>0</v>
      </c>
      <c r="D121" s="40">
        <f>'China 2005'!$I13/IF(('China 2005'!$L13-'China 2005'!$J13-'China 2005'!$K13-'China 2005'!$G13-'China 2005'!$H13)=0,1,('China 2005'!$L13-'China 2005'!$J13-'China 2005'!$K13-'China 2005'!$G13-'China 2005'!$H13))</f>
        <v>0</v>
      </c>
      <c r="E121" s="40">
        <f>'China 2010'!$I13/IF(('China 2010'!$L13-'China 2010'!$J13-'China 2010'!$K13-'China 2010'!$G13-'China 2010'!$H13)=0,1,('China 2010'!$L13-'China 2010'!$J13-'China 2010'!$K13-'China 2010'!$G13-'China 2010'!$H13))</f>
        <v>1.2832297583599799E-4</v>
      </c>
      <c r="F121" s="40">
        <f>'China 2015'!$I13/IF(('China 2015'!$L13-'China 2015'!$J13-'China 2015'!$K13-'China 2015'!$G13-'China 2015'!$H13)=0,1,('China 2015'!$L13-'China 2015'!$J13-'China 2015'!$K13-'China 2015'!$G13-'China 2015'!$H13))</f>
        <v>1.7328732554840025E-4</v>
      </c>
      <c r="G121" s="40">
        <f>'China 2018'!$I13/IF(('China 2018'!$L13-'China 2018'!$J13-'China 2018'!$K13-'China 2018'!$G13-'China 2018'!$H13)=0,1,('China 2018'!$L13-'China 2018'!$J13-'China 2018'!$K13-'China 2018'!$G13-'China 2018'!$H13))</f>
        <v>1.7624581416191365E-4</v>
      </c>
      <c r="H121" s="77">
        <f t="shared" si="1"/>
        <v>1.7624581416191365E-4</v>
      </c>
      <c r="I121" s="77">
        <f t="shared" si="1"/>
        <v>1.7624581416191365E-4</v>
      </c>
    </row>
    <row r="122" spans="1:11" x14ac:dyDescent="0.35">
      <c r="A122" s="32" t="s">
        <v>182</v>
      </c>
      <c r="B122" s="82"/>
      <c r="C122" s="82"/>
      <c r="D122" s="82"/>
      <c r="E122" s="82"/>
      <c r="F122" s="82"/>
      <c r="G122" s="82"/>
      <c r="H122" s="42"/>
      <c r="I122" s="42"/>
    </row>
    <row r="123" spans="1:11" x14ac:dyDescent="0.35">
      <c r="A123" s="30" t="s">
        <v>141</v>
      </c>
      <c r="B123" s="40">
        <f>'China 1995'!$B14/IF(('China 1995'!$L14-'China 1995'!$J14-'China 1995'!$K14-'China 1995'!$G14-'China 1995'!$H14)=0,1,('China 1995'!$L14-'China 1995'!$J14-'China 1995'!$K14-'China 1995'!$G14-'China 1995'!$H14))</f>
        <v>0.86976126501744955</v>
      </c>
      <c r="C123" s="40">
        <f>'China 2000'!$B14/IF(('China 2000'!$L14-'China 2000'!$J14-'China 2000'!$K14-'China 2000'!$G14-'China 2000'!$H14)=0,1,('China 2000'!$L14-'China 2000'!$J14-'China 2000'!$K14-'China 2000'!$G14-'China 2000'!$H14))</f>
        <v>0.88585472419442923</v>
      </c>
      <c r="D123" s="40">
        <f>'China 2005'!$B14/IF(('China 2005'!$L14-'China 2005'!$J14-'China 2005'!$K14-'China 2005'!$G14-'China 2005'!$H14)=0,1,('China 2005'!$L14-'China 2005'!$J14-'China 2005'!$K14-'China 2005'!$G14-'China 2005'!$H14))</f>
        <v>0.40017746228926354</v>
      </c>
      <c r="E123" s="40">
        <f>'China 2010'!$B14/IF(('China 2010'!$L14-'China 2010'!$J14-'China 2010'!$K14-'China 2010'!$G14-'China 2010'!$H14)=0,1,('China 2010'!$L14-'China 2010'!$J14-'China 2010'!$K14-'China 2010'!$G14-'China 2010'!$H14))</f>
        <v>0.49564644764761834</v>
      </c>
      <c r="F123" s="40">
        <f>'China 2015'!$B14/IF(('China 2015'!$L14-'China 2015'!$J14-'China 2015'!$K14-'China 2015'!$G14-'China 2015'!$H14)=0,1,('China 2015'!$L14-'China 2015'!$J14-'China 2015'!$K14-'China 2015'!$G14-'China 2015'!$H14))</f>
        <v>0.59093021711705729</v>
      </c>
      <c r="G123" s="40">
        <f>'China 2018'!$B14/IF(('China 2018'!$L14-'China 2018'!$J14-'China 2018'!$K14-'China 2018'!$G14-'China 2018'!$H14)=0,1,('China 2018'!$L14-'China 2018'!$J14-'China 2018'!$K14-'China 2018'!$G14-'China 2018'!$H14))</f>
        <v>0.59685900581925266</v>
      </c>
      <c r="H123" s="77">
        <f t="shared" si="1"/>
        <v>0.59685900581925266</v>
      </c>
      <c r="I123" s="77">
        <f t="shared" si="1"/>
        <v>0.59685900581925266</v>
      </c>
    </row>
    <row r="124" spans="1:11" x14ac:dyDescent="0.35">
      <c r="A124" s="30" t="s">
        <v>142</v>
      </c>
      <c r="B124" s="40">
        <f>'China 1995'!$C14/IF(('China 1995'!$L14-'China 1995'!$J14-'China 1995'!$K14-'China 1995'!$G14-'China 1995'!$H14)=0,1,('China 1995'!$L14-'China 1995'!$J14-'China 1995'!$K14-'China 1995'!$G14-'China 1995'!$H14))</f>
        <v>1.3589054634176472E-3</v>
      </c>
      <c r="C124" s="40">
        <f>'China 2000'!$C14/IF(('China 2000'!$L14-'China 2000'!$J14-'China 2000'!$K14-'China 2000'!$G14-'China 2000'!$H14)=0,1,('China 2000'!$L14-'China 2000'!$J14-'China 2000'!$K14-'China 2000'!$G14-'China 2000'!$H14))</f>
        <v>2.7307482250136538E-3</v>
      </c>
      <c r="D124" s="40">
        <f>'China 2005'!$C14/IF(('China 2005'!$L14-'China 2005'!$J14-'China 2005'!$K14-'China 2005'!$G14-'China 2005'!$H14)=0,1,('China 2005'!$L14-'China 2005'!$J14-'China 2005'!$K14-'China 2005'!$G14-'China 2005'!$H14))</f>
        <v>5.3238686779059448E-3</v>
      </c>
      <c r="E124" s="40">
        <f>'China 2010'!$C14/IF(('China 2010'!$L14-'China 2010'!$J14-'China 2010'!$K14-'China 2010'!$G14-'China 2010'!$H14)=0,1,('China 2010'!$L14-'China 2010'!$J14-'China 2010'!$K14-'China 2010'!$G14-'China 2010'!$H14))</f>
        <v>2.4145752542620914E-3</v>
      </c>
      <c r="F124" s="40">
        <f>'China 2015'!$C14/IF(('China 2015'!$L14-'China 2015'!$J14-'China 2015'!$K14-'China 2015'!$G14-'China 2015'!$H14)=0,1,('China 2015'!$L14-'China 2015'!$J14-'China 2015'!$K14-'China 2015'!$G14-'China 2015'!$H14))</f>
        <v>4.4485757917800944E-3</v>
      </c>
      <c r="G124" s="40">
        <f>'China 2018'!$C14/IF(('China 2018'!$L14-'China 2018'!$J14-'China 2018'!$K14-'China 2018'!$G14-'China 2018'!$H14)=0,1,('China 2018'!$L14-'China 2018'!$J14-'China 2018'!$K14-'China 2018'!$G14-'China 2018'!$H14))</f>
        <v>0</v>
      </c>
      <c r="H124" s="77">
        <f t="shared" si="1"/>
        <v>0</v>
      </c>
      <c r="I124" s="77">
        <f t="shared" si="1"/>
        <v>0</v>
      </c>
    </row>
    <row r="125" spans="1:11" x14ac:dyDescent="0.35">
      <c r="A125" s="30" t="s">
        <v>143</v>
      </c>
      <c r="B125" s="40">
        <f>'China 1995'!$D14/IF(('China 1995'!$L14-'China 1995'!$J14-'China 1995'!$K14-'China 1995'!$G14-'China 1995'!$H14)=0,1,('China 1995'!$L14-'China 1995'!$J14-'China 1995'!$K14-'China 1995'!$G14-'China 1995'!$H14))</f>
        <v>0.12276475493375336</v>
      </c>
      <c r="C125" s="40">
        <f>'China 2000'!$D14/IF(('China 2000'!$L14-'China 2000'!$J14-'China 2000'!$K14-'China 2000'!$G14-'China 2000'!$H14)=0,1,('China 2000'!$L14-'China 2000'!$J14-'China 2000'!$K14-'China 2000'!$G14-'China 2000'!$H14))</f>
        <v>7.8665054224857617E-2</v>
      </c>
      <c r="D125" s="40">
        <f>'China 2005'!$D14/IF(('China 2005'!$L14-'China 2005'!$J14-'China 2005'!$K14-'China 2005'!$G14-'China 2005'!$H14)=0,1,('China 2005'!$L14-'China 2005'!$J14-'China 2005'!$K14-'China 2005'!$G14-'China 2005'!$H14))</f>
        <v>0.50878438331854481</v>
      </c>
      <c r="E125" s="40">
        <f>'China 2010'!$D14/IF(('China 2010'!$L14-'China 2010'!$J14-'China 2010'!$K14-'China 2010'!$G14-'China 2010'!$H14)=0,1,('China 2010'!$L14-'China 2010'!$J14-'China 2010'!$K14-'China 2010'!$G14-'China 2010'!$H14))</f>
        <v>0.4193312358235165</v>
      </c>
      <c r="F125" s="40">
        <f>'China 2015'!$D14/IF(('China 2015'!$L14-'China 2015'!$J14-'China 2015'!$K14-'China 2015'!$G14-'China 2015'!$H14)=0,1,('China 2015'!$L14-'China 2015'!$J14-'China 2015'!$K14-'China 2015'!$G14-'China 2015'!$H14))</f>
        <v>0.30708452294004385</v>
      </c>
      <c r="G125" s="40">
        <f>'China 2018'!$D14/IF(('China 2018'!$L14-'China 2018'!$J14-'China 2018'!$K14-'China 2018'!$G14-'China 2018'!$H14)=0,1,('China 2018'!$L14-'China 2018'!$J14-'China 2018'!$K14-'China 2018'!$G14-'China 2018'!$H14))</f>
        <v>0.31045362125779991</v>
      </c>
      <c r="H125" s="77">
        <f t="shared" si="1"/>
        <v>0.31045362125779991</v>
      </c>
      <c r="I125" s="77">
        <f t="shared" si="1"/>
        <v>0.31045362125779991</v>
      </c>
    </row>
    <row r="126" spans="1:11" x14ac:dyDescent="0.35">
      <c r="A126" s="30" t="s">
        <v>241</v>
      </c>
      <c r="B126" s="40">
        <f>'China 1995'!$E14/IF(('China 1995'!$L14-'China 1995'!$J14-'China 1995'!$K14-'China 1995'!$G14-'China 1995'!$H14)=0,1,('China 1995'!$L14-'China 1995'!$J14-'China 1995'!$K14-'China 1995'!$G14-'China 1995'!$H14))</f>
        <v>1.0500633126409092E-3</v>
      </c>
      <c r="C126" s="40">
        <f>'China 2000'!$E14/IF(('China 2000'!$L14-'China 2000'!$J14-'China 2000'!$K14-'China 2000'!$G14-'China 2000'!$H14)=0,1,('China 2000'!$L14-'China 2000'!$J14-'China 2000'!$K14-'China 2000'!$G14-'China 2000'!$H14))</f>
        <v>2.3269875946009207E-2</v>
      </c>
      <c r="D126" s="40">
        <f>'China 2005'!$E14/IF(('China 2005'!$L14-'China 2005'!$J14-'China 2005'!$K14-'China 2005'!$G14-'China 2005'!$H14)=0,1,('China 2005'!$L14-'China 2005'!$J14-'China 2005'!$K14-'China 2005'!$G14-'China 2005'!$H14))</f>
        <v>0</v>
      </c>
      <c r="E126" s="40">
        <f>'China 2010'!$E14/IF(('China 2010'!$L14-'China 2010'!$J14-'China 2010'!$K14-'China 2010'!$G14-'China 2010'!$H14)=0,1,('China 2010'!$L14-'China 2010'!$J14-'China 2010'!$K14-'China 2010'!$G14-'China 2010'!$H14))</f>
        <v>0</v>
      </c>
      <c r="F126" s="40">
        <f>'China 2015'!$E14/IF(('China 2015'!$L14-'China 2015'!$J14-'China 2015'!$K14-'China 2015'!$G14-'China 2015'!$H14)=0,1,('China 2015'!$L14-'China 2015'!$J14-'China 2015'!$K14-'China 2015'!$G14-'China 2015'!$H14))</f>
        <v>0</v>
      </c>
      <c r="G126" s="40">
        <f>'China 2018'!$E14/IF(('China 2018'!$L14-'China 2018'!$J14-'China 2018'!$K14-'China 2018'!$G14-'China 2018'!$H14)=0,1,('China 2018'!$L14-'China 2018'!$J14-'China 2018'!$K14-'China 2018'!$G14-'China 2018'!$H14))</f>
        <v>0</v>
      </c>
      <c r="H126" s="89">
        <f>1-H123-H124-H125-H127-H128</f>
        <v>0</v>
      </c>
      <c r="I126" s="89">
        <f>1-I123-I124-I125-I127-I128</f>
        <v>0</v>
      </c>
    </row>
    <row r="127" spans="1:11" x14ac:dyDescent="0.35">
      <c r="A127" s="30" t="s">
        <v>180</v>
      </c>
      <c r="B127" s="40">
        <f>'China 1995'!$F14/IF(('China 1995'!$L14-'China 1995'!$J14-'China 1995'!$K14-'China 1995'!$G14-'China 1995'!$H14)=0,1,('China 1995'!$L14-'China 1995'!$J14-'China 1995'!$K14-'China 1995'!$G14-'China 1995'!$H14))</f>
        <v>0</v>
      </c>
      <c r="C127" s="40">
        <f>'China 2000'!$F14/IF(('China 2000'!$L14-'China 2000'!$J14-'China 2000'!$K14-'China 2000'!$G14-'China 2000'!$H14)=0,1,('China 2000'!$L14-'China 2000'!$J14-'China 2000'!$K14-'China 2000'!$G14-'China 2000'!$H14))</f>
        <v>0</v>
      </c>
      <c r="D127" s="40">
        <f>'China 2005'!$F14/IF(('China 2005'!$L14-'China 2005'!$J14-'China 2005'!$K14-'China 2005'!$G14-'China 2005'!$H14)=0,1,('China 2005'!$L14-'China 2005'!$J14-'China 2005'!$K14-'China 2005'!$G14-'China 2005'!$H14))</f>
        <v>0</v>
      </c>
      <c r="E127" s="40">
        <f>'China 2010'!$F14/IF(('China 2010'!$L14-'China 2010'!$J14-'China 2010'!$K14-'China 2010'!$G14-'China 2010'!$H14)=0,1,('China 2010'!$L14-'China 2010'!$J14-'China 2010'!$K14-'China 2010'!$G14-'China 2010'!$H14))</f>
        <v>0</v>
      </c>
      <c r="F127" s="40">
        <f>'China 2015'!$F14/IF(('China 2015'!$L14-'China 2015'!$J14-'China 2015'!$K14-'China 2015'!$G14-'China 2015'!$H14)=0,1,('China 2015'!$L14-'China 2015'!$J14-'China 2015'!$K14-'China 2015'!$G14-'China 2015'!$H14))</f>
        <v>0</v>
      </c>
      <c r="G127" s="40">
        <f>'China 2018'!$F14/IF(('China 2018'!$L14-'China 2018'!$J14-'China 2018'!$K14-'China 2018'!$G14-'China 2018'!$H14)=0,1,('China 2018'!$L14-'China 2018'!$J14-'China 2018'!$K14-'China 2018'!$G14-'China 2018'!$H14))</f>
        <v>0</v>
      </c>
      <c r="H127" s="77">
        <f t="shared" si="1"/>
        <v>0</v>
      </c>
      <c r="I127" s="77">
        <f t="shared" si="1"/>
        <v>0</v>
      </c>
      <c r="K127" s="7"/>
    </row>
    <row r="128" spans="1:11" x14ac:dyDescent="0.35">
      <c r="A128" s="30" t="s">
        <v>146</v>
      </c>
      <c r="B128" s="40">
        <f>'China 1995'!$I14/IF(('China 1995'!$L14-'China 1995'!$J14-'China 1995'!$K14-'China 1995'!$G14-'China 1995'!$H14)=0,1,('China 1995'!$L14-'China 1995'!$J14-'China 1995'!$K14-'China 1995'!$G14-'China 1995'!$H14))</f>
        <v>5.0650112727385031E-3</v>
      </c>
      <c r="C128" s="40">
        <f>'China 2000'!$I14/IF(('China 2000'!$L14-'China 2000'!$J14-'China 2000'!$K14-'China 2000'!$G14-'China 2000'!$H14)=0,1,('China 2000'!$L14-'China 2000'!$J14-'China 2000'!$K14-'China 2000'!$G14-'China 2000'!$H14))</f>
        <v>9.4991027541546386E-3</v>
      </c>
      <c r="D128" s="40">
        <f>'China 2005'!$I14/IF(('China 2005'!$L14-'China 2005'!$J14-'China 2005'!$K14-'China 2005'!$G14-'China 2005'!$H14)=0,1,('China 2005'!$L14-'China 2005'!$J14-'China 2005'!$K14-'China 2005'!$G14-'China 2005'!$H14))</f>
        <v>8.5714285714285715E-2</v>
      </c>
      <c r="E128" s="40">
        <f>'China 2010'!$I14/IF(('China 2010'!$L14-'China 2010'!$J14-'China 2010'!$K14-'China 2010'!$G14-'China 2010'!$H14)=0,1,('China 2010'!$L14-'China 2010'!$J14-'China 2010'!$K14-'China 2010'!$G14-'China 2010'!$H14))</f>
        <v>8.2607741274603061E-2</v>
      </c>
      <c r="F128" s="40">
        <f>'China 2015'!$I14/IF(('China 2015'!$L14-'China 2015'!$J14-'China 2015'!$K14-'China 2015'!$G14-'China 2015'!$H14)=0,1,('China 2015'!$L14-'China 2015'!$J14-'China 2015'!$K14-'China 2015'!$G14-'China 2015'!$H14))</f>
        <v>9.7536684151118783E-2</v>
      </c>
      <c r="G128" s="40">
        <f>'China 2018'!$I14/IF(('China 2018'!$L14-'China 2018'!$J14-'China 2018'!$K14-'China 2018'!$G14-'China 2018'!$H14)=0,1,('China 2018'!$L14-'China 2018'!$J14-'China 2018'!$K14-'China 2018'!$G14-'China 2018'!$H14))</f>
        <v>9.2687372922947486E-2</v>
      </c>
      <c r="H128" s="77">
        <f t="shared" si="1"/>
        <v>9.2687372922947486E-2</v>
      </c>
      <c r="I128" s="77">
        <f t="shared" si="1"/>
        <v>9.2687372922947486E-2</v>
      </c>
    </row>
    <row r="129" spans="1:9" x14ac:dyDescent="0.35">
      <c r="A129" s="32" t="s">
        <v>183</v>
      </c>
      <c r="B129" s="82"/>
      <c r="C129" s="82"/>
      <c r="D129" s="82"/>
      <c r="E129" s="82"/>
      <c r="F129" s="82"/>
      <c r="G129" s="82"/>
      <c r="H129" s="42"/>
      <c r="I129" s="42"/>
    </row>
    <row r="130" spans="1:9" x14ac:dyDescent="0.35">
      <c r="A130" s="30" t="s">
        <v>142</v>
      </c>
      <c r="B130" s="40">
        <v>1</v>
      </c>
      <c r="C130" s="40">
        <v>1</v>
      </c>
      <c r="D130" s="40">
        <v>1</v>
      </c>
      <c r="E130" s="40">
        <v>1</v>
      </c>
      <c r="F130" s="40">
        <v>1</v>
      </c>
      <c r="G130" s="40">
        <v>1</v>
      </c>
      <c r="H130" s="89">
        <f>1-H131</f>
        <v>1</v>
      </c>
      <c r="I130" s="89">
        <f>1-I131</f>
        <v>1</v>
      </c>
    </row>
    <row r="131" spans="1:9" x14ac:dyDescent="0.35">
      <c r="A131" s="30" t="s">
        <v>146</v>
      </c>
      <c r="B131" s="40">
        <v>0</v>
      </c>
      <c r="C131" s="40">
        <v>0</v>
      </c>
      <c r="D131" s="40">
        <v>0</v>
      </c>
      <c r="E131" s="40">
        <v>0</v>
      </c>
      <c r="F131" s="40">
        <v>0</v>
      </c>
      <c r="G131" s="40">
        <v>0</v>
      </c>
      <c r="H131" s="77">
        <f t="shared" si="1"/>
        <v>0</v>
      </c>
      <c r="I131" s="77">
        <f t="shared" si="1"/>
        <v>0</v>
      </c>
    </row>
    <row r="132" spans="1:9" x14ac:dyDescent="0.35">
      <c r="A132" s="30"/>
      <c r="B132" s="40">
        <v>0</v>
      </c>
      <c r="C132" s="40">
        <v>0</v>
      </c>
      <c r="D132" s="40">
        <v>0</v>
      </c>
      <c r="E132" s="40">
        <v>0</v>
      </c>
      <c r="F132" s="40">
        <v>0</v>
      </c>
      <c r="G132" s="40">
        <v>0</v>
      </c>
      <c r="H132" s="77">
        <f t="shared" si="1"/>
        <v>0</v>
      </c>
      <c r="I132" s="77">
        <f t="shared" si="1"/>
        <v>0</v>
      </c>
    </row>
    <row r="133" spans="1:9" x14ac:dyDescent="0.35">
      <c r="A133" s="32" t="s">
        <v>184</v>
      </c>
      <c r="B133" s="42"/>
      <c r="C133" s="42"/>
      <c r="D133" s="42"/>
      <c r="E133" s="42"/>
      <c r="F133" s="42"/>
      <c r="G133" s="42"/>
      <c r="H133" s="42"/>
      <c r="I133" s="42"/>
    </row>
    <row r="134" spans="1:9" x14ac:dyDescent="0.35">
      <c r="A134" s="30" t="s">
        <v>185</v>
      </c>
      <c r="H134" s="77">
        <v>0</v>
      </c>
      <c r="I134" s="77">
        <v>0</v>
      </c>
    </row>
    <row r="135" spans="1:9" x14ac:dyDescent="0.35">
      <c r="A135" s="30" t="s">
        <v>186</v>
      </c>
      <c r="H135" s="77">
        <v>0</v>
      </c>
      <c r="I135" s="77">
        <v>0</v>
      </c>
    </row>
    <row r="136" spans="1:9" x14ac:dyDescent="0.35">
      <c r="A136" s="30" t="s">
        <v>245</v>
      </c>
      <c r="H136" s="77">
        <v>0</v>
      </c>
      <c r="I136" s="77">
        <v>0</v>
      </c>
    </row>
    <row r="137" spans="1:9" x14ac:dyDescent="0.35">
      <c r="A137" s="30" t="s">
        <v>188</v>
      </c>
      <c r="H137" s="77">
        <v>0</v>
      </c>
      <c r="I137" s="77">
        <v>0</v>
      </c>
    </row>
    <row r="138" spans="1:9" x14ac:dyDescent="0.35">
      <c r="A138" s="32" t="s">
        <v>189</v>
      </c>
      <c r="B138" s="42"/>
      <c r="C138" s="42"/>
      <c r="D138" s="42"/>
      <c r="E138" s="42"/>
      <c r="F138" s="42"/>
      <c r="G138" s="42"/>
      <c r="H138" s="42"/>
      <c r="I138" s="42"/>
    </row>
    <row r="139" spans="1:9" x14ac:dyDescent="0.35">
      <c r="A139" s="30" t="s">
        <v>190</v>
      </c>
      <c r="G139" s="94">
        <v>0.8</v>
      </c>
      <c r="H139" s="93">
        <f>G139</f>
        <v>0.8</v>
      </c>
      <c r="I139" s="77">
        <f t="shared" ref="I139:I142" si="5">H139</f>
        <v>0.8</v>
      </c>
    </row>
    <row r="140" spans="1:9" x14ac:dyDescent="0.35">
      <c r="A140" s="30" t="s">
        <v>191</v>
      </c>
      <c r="G140" s="94">
        <v>0.3</v>
      </c>
      <c r="H140" s="93">
        <f t="shared" ref="H140:H142" si="6">G140</f>
        <v>0.3</v>
      </c>
      <c r="I140" s="77">
        <f t="shared" si="5"/>
        <v>0.3</v>
      </c>
    </row>
    <row r="141" spans="1:9" x14ac:dyDescent="0.35">
      <c r="A141" s="30" t="s">
        <v>192</v>
      </c>
      <c r="G141" s="94">
        <v>0.95</v>
      </c>
      <c r="H141" s="93">
        <f t="shared" si="6"/>
        <v>0.95</v>
      </c>
      <c r="I141" s="77">
        <f t="shared" si="5"/>
        <v>0.95</v>
      </c>
    </row>
    <row r="142" spans="1:9" x14ac:dyDescent="0.35">
      <c r="A142" s="30" t="s">
        <v>193</v>
      </c>
      <c r="G142" s="94">
        <v>1</v>
      </c>
      <c r="H142" s="93">
        <f t="shared" si="6"/>
        <v>1</v>
      </c>
      <c r="I142" s="77">
        <f t="shared" si="5"/>
        <v>1</v>
      </c>
    </row>
  </sheetData>
  <mergeCells count="1">
    <mergeCell ref="B3:I3"/>
  </mergeCells>
  <pageMargins left="0.7" right="0.7" top="0.75" bottom="0.75" header="0.3" footer="0.3"/>
  <pageSetup paperSize="9" orientation="portrait" horizontalDpi="4294967293" verticalDpi="4294967293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Ark18"/>
  <dimension ref="A1:L32"/>
  <sheetViews>
    <sheetView workbookViewId="0">
      <selection activeCell="A3" sqref="A3:L30"/>
    </sheetView>
  </sheetViews>
  <sheetFormatPr defaultRowHeight="14.5" x14ac:dyDescent="0.35"/>
  <cols>
    <col min="1" max="1" width="30" customWidth="1"/>
    <col min="2" max="2" width="11.54296875" customWidth="1"/>
    <col min="3" max="3" width="12" customWidth="1"/>
    <col min="4" max="4" width="14.54296875" customWidth="1"/>
    <col min="5" max="5" width="14.1796875" customWidth="1"/>
    <col min="8" max="8" width="22.81640625" customWidth="1"/>
    <col min="9" max="9" width="21.81640625" customWidth="1"/>
    <col min="10" max="10" width="13.81640625" customWidth="1"/>
    <col min="11" max="11" width="12.26953125" customWidth="1"/>
    <col min="12" max="12" width="11.81640625" customWidth="1"/>
  </cols>
  <sheetData>
    <row r="1" spans="1:12" x14ac:dyDescent="0.35">
      <c r="B1" t="s">
        <v>214</v>
      </c>
      <c r="C1" t="s">
        <v>2</v>
      </c>
      <c r="D1" t="s">
        <v>215</v>
      </c>
      <c r="E1" t="s">
        <v>216</v>
      </c>
      <c r="F1" t="s">
        <v>5</v>
      </c>
      <c r="G1" t="s">
        <v>6</v>
      </c>
      <c r="H1" t="s">
        <v>217</v>
      </c>
      <c r="I1" t="s">
        <v>8</v>
      </c>
      <c r="J1" t="s">
        <v>9</v>
      </c>
      <c r="K1" t="s">
        <v>10</v>
      </c>
      <c r="L1" t="s">
        <v>218</v>
      </c>
    </row>
    <row r="2" spans="1:12" x14ac:dyDescent="0.35">
      <c r="B2" t="s">
        <v>219</v>
      </c>
      <c r="C2" t="s">
        <v>219</v>
      </c>
      <c r="D2" t="s">
        <v>219</v>
      </c>
      <c r="E2" t="s">
        <v>219</v>
      </c>
      <c r="F2" t="s">
        <v>219</v>
      </c>
      <c r="G2" t="s">
        <v>219</v>
      </c>
      <c r="H2" t="s">
        <v>219</v>
      </c>
      <c r="I2" t="s">
        <v>219</v>
      </c>
      <c r="J2" t="s">
        <v>219</v>
      </c>
      <c r="K2" t="s">
        <v>219</v>
      </c>
      <c r="L2" t="s">
        <v>219</v>
      </c>
    </row>
    <row r="3" spans="1:12" x14ac:dyDescent="0.35">
      <c r="A3" t="s">
        <v>17</v>
      </c>
      <c r="B3" s="7">
        <v>673626</v>
      </c>
      <c r="C3" s="7">
        <v>150044</v>
      </c>
      <c r="D3" s="7"/>
      <c r="E3" s="7">
        <v>15019</v>
      </c>
      <c r="F3" s="7">
        <v>3344</v>
      </c>
      <c r="G3" s="7">
        <v>16387</v>
      </c>
      <c r="H3" s="7">
        <v>1294</v>
      </c>
      <c r="I3" s="7">
        <v>204786</v>
      </c>
      <c r="J3" s="7"/>
      <c r="K3" s="7"/>
      <c r="L3" s="7">
        <v>1064499</v>
      </c>
    </row>
    <row r="4" spans="1:12" x14ac:dyDescent="0.35">
      <c r="A4" t="s">
        <v>220</v>
      </c>
      <c r="B4" s="7">
        <v>6432</v>
      </c>
      <c r="C4" s="7">
        <v>17090</v>
      </c>
      <c r="D4" s="7">
        <v>34902</v>
      </c>
      <c r="E4" s="7">
        <v>26</v>
      </c>
      <c r="F4" s="7"/>
      <c r="G4" s="7"/>
      <c r="H4" s="7"/>
      <c r="I4" s="7">
        <v>11</v>
      </c>
      <c r="J4" s="7">
        <v>704</v>
      </c>
      <c r="K4" s="7"/>
      <c r="L4" s="7">
        <v>59165</v>
      </c>
    </row>
    <row r="5" spans="1:12" x14ac:dyDescent="0.35">
      <c r="A5" t="s">
        <v>221</v>
      </c>
      <c r="B5" s="7">
        <v>-24492</v>
      </c>
      <c r="C5" s="7">
        <v>-18227</v>
      </c>
      <c r="D5" s="7">
        <v>-13200</v>
      </c>
      <c r="E5" s="7">
        <v>-22</v>
      </c>
      <c r="F5" s="7"/>
      <c r="G5" s="7"/>
      <c r="H5" s="7"/>
      <c r="I5" s="7">
        <v>-1</v>
      </c>
      <c r="J5" s="7">
        <v>-646</v>
      </c>
      <c r="K5" s="7"/>
      <c r="L5" s="7">
        <v>-56587</v>
      </c>
    </row>
    <row r="6" spans="1:12" x14ac:dyDescent="0.35">
      <c r="A6" t="s">
        <v>222</v>
      </c>
      <c r="B6" s="7"/>
      <c r="C6" s="7"/>
      <c r="D6" s="7">
        <v>-5043</v>
      </c>
      <c r="E6" s="7"/>
      <c r="F6" s="7"/>
      <c r="G6" s="7"/>
      <c r="H6" s="7"/>
      <c r="I6" s="7"/>
      <c r="J6" s="7"/>
      <c r="K6" s="7"/>
      <c r="L6" s="7">
        <v>-5043</v>
      </c>
    </row>
    <row r="7" spans="1:12" x14ac:dyDescent="0.35">
      <c r="A7" t="s">
        <v>223</v>
      </c>
      <c r="B7" s="7"/>
      <c r="C7" s="7"/>
      <c r="D7" s="7">
        <v>-3852</v>
      </c>
      <c r="E7" s="7"/>
      <c r="F7" s="7"/>
      <c r="G7" s="7"/>
      <c r="H7" s="7"/>
      <c r="I7" s="7"/>
      <c r="J7" s="7"/>
      <c r="K7" s="7"/>
      <c r="L7" s="7">
        <v>-3852</v>
      </c>
    </row>
    <row r="8" spans="1:12" x14ac:dyDescent="0.35">
      <c r="A8" t="s">
        <v>224</v>
      </c>
      <c r="B8" s="7">
        <v>-1920</v>
      </c>
      <c r="C8" s="7">
        <v>-958</v>
      </c>
      <c r="D8" s="7">
        <v>-303</v>
      </c>
      <c r="E8" s="7"/>
      <c r="F8" s="7"/>
      <c r="G8" s="7"/>
      <c r="H8" s="7"/>
      <c r="I8" s="7"/>
      <c r="J8" s="7"/>
      <c r="K8" s="7"/>
      <c r="L8" s="7">
        <v>-3181</v>
      </c>
    </row>
    <row r="9" spans="1:12" x14ac:dyDescent="0.35">
      <c r="A9" t="s">
        <v>225</v>
      </c>
      <c r="B9" s="7">
        <v>653646</v>
      </c>
      <c r="C9" s="7">
        <v>147949</v>
      </c>
      <c r="D9" s="7">
        <v>12504</v>
      </c>
      <c r="E9" s="7">
        <v>15024</v>
      </c>
      <c r="F9" s="7">
        <v>3344</v>
      </c>
      <c r="G9" s="7">
        <v>16387</v>
      </c>
      <c r="H9" s="7">
        <v>1294</v>
      </c>
      <c r="I9" s="7">
        <v>204795</v>
      </c>
      <c r="J9" s="7">
        <v>58</v>
      </c>
      <c r="K9" s="7"/>
      <c r="L9" s="7">
        <v>1055000</v>
      </c>
    </row>
    <row r="10" spans="1:12" x14ac:dyDescent="0.35">
      <c r="A10" t="s">
        <v>226</v>
      </c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</row>
    <row r="11" spans="1:12" x14ac:dyDescent="0.35">
      <c r="A11" t="s">
        <v>227</v>
      </c>
      <c r="B11" s="7">
        <v>16107</v>
      </c>
      <c r="C11" s="7">
        <v>916</v>
      </c>
      <c r="D11" s="7">
        <v>4867</v>
      </c>
      <c r="E11" s="7">
        <v>-100</v>
      </c>
      <c r="F11" s="7"/>
      <c r="G11" s="7"/>
      <c r="H11" s="7">
        <v>-95</v>
      </c>
      <c r="I11" s="7"/>
      <c r="J11" s="7">
        <v>-10</v>
      </c>
      <c r="K11" s="7"/>
      <c r="L11" s="7">
        <v>21685</v>
      </c>
    </row>
    <row r="12" spans="1:12" x14ac:dyDescent="0.35">
      <c r="A12" t="s">
        <v>228</v>
      </c>
      <c r="B12" s="7">
        <v>-221327</v>
      </c>
      <c r="C12" s="7">
        <v>-616</v>
      </c>
      <c r="D12" s="7">
        <v>-13092</v>
      </c>
      <c r="E12" s="7">
        <v>-688</v>
      </c>
      <c r="F12" s="7">
        <v>-3344</v>
      </c>
      <c r="G12" s="7">
        <v>-16387</v>
      </c>
      <c r="H12" s="7">
        <v>-7</v>
      </c>
      <c r="I12" s="7">
        <v>-996</v>
      </c>
      <c r="J12" s="7">
        <v>89065</v>
      </c>
      <c r="K12" s="7"/>
      <c r="L12" s="7">
        <v>-167391</v>
      </c>
    </row>
    <row r="13" spans="1:12" x14ac:dyDescent="0.35">
      <c r="A13" t="s">
        <v>66</v>
      </c>
      <c r="B13" s="7"/>
      <c r="C13" s="7"/>
      <c r="D13" s="7"/>
      <c r="E13" s="7"/>
      <c r="F13" s="7"/>
      <c r="G13" s="7"/>
      <c r="H13" s="7"/>
      <c r="I13" s="7"/>
      <c r="J13" s="7"/>
      <c r="K13" s="7"/>
      <c r="L13" s="7"/>
    </row>
    <row r="14" spans="1:12" x14ac:dyDescent="0.35">
      <c r="A14" t="s">
        <v>229</v>
      </c>
      <c r="B14" s="7">
        <v>-28162</v>
      </c>
      <c r="C14" s="7">
        <v>-44</v>
      </c>
      <c r="D14" s="7">
        <v>-3975</v>
      </c>
      <c r="E14" s="7">
        <v>-34</v>
      </c>
      <c r="F14" s="7"/>
      <c r="G14" s="7"/>
      <c r="H14" s="7"/>
      <c r="I14" s="7">
        <v>-164</v>
      </c>
      <c r="J14" s="7"/>
      <c r="K14" s="7">
        <v>25604</v>
      </c>
      <c r="L14" s="7">
        <v>-6775</v>
      </c>
    </row>
    <row r="15" spans="1:12" x14ac:dyDescent="0.35">
      <c r="A15" t="s">
        <v>230</v>
      </c>
      <c r="B15" s="7">
        <v>-449</v>
      </c>
      <c r="C15" s="7"/>
      <c r="D15" s="7">
        <v>-1201</v>
      </c>
      <c r="E15" s="7">
        <v>472</v>
      </c>
      <c r="F15" s="7"/>
      <c r="G15" s="7"/>
      <c r="H15" s="7"/>
      <c r="I15" s="7"/>
      <c r="J15" s="7"/>
      <c r="K15" s="7"/>
      <c r="L15" s="7">
        <v>-1177</v>
      </c>
    </row>
    <row r="16" spans="1:12" x14ac:dyDescent="0.35">
      <c r="A16" t="s">
        <v>70</v>
      </c>
      <c r="B16" s="7"/>
      <c r="C16" s="7">
        <v>-143534</v>
      </c>
      <c r="D16" s="7">
        <v>141991</v>
      </c>
      <c r="E16" s="7"/>
      <c r="F16" s="7"/>
      <c r="G16" s="7"/>
      <c r="H16" s="7"/>
      <c r="I16" s="7"/>
      <c r="J16" s="7"/>
      <c r="K16" s="7"/>
      <c r="L16" s="7">
        <v>-1543</v>
      </c>
    </row>
    <row r="17" spans="1:12" x14ac:dyDescent="0.35">
      <c r="A17" t="s">
        <v>231</v>
      </c>
      <c r="B17" s="7">
        <v>-33312</v>
      </c>
      <c r="C17" s="7"/>
      <c r="D17" s="7"/>
      <c r="E17" s="7"/>
      <c r="F17" s="7"/>
      <c r="G17" s="7"/>
      <c r="H17" s="7"/>
      <c r="I17" s="7"/>
      <c r="J17" s="7"/>
      <c r="K17" s="7"/>
      <c r="L17" s="7">
        <v>-33312</v>
      </c>
    </row>
    <row r="18" spans="1:12" x14ac:dyDescent="0.35">
      <c r="A18" t="s">
        <v>232</v>
      </c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</row>
    <row r="19" spans="1:12" x14ac:dyDescent="0.35">
      <c r="A19" t="s">
        <v>233</v>
      </c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</row>
    <row r="20" spans="1:12" x14ac:dyDescent="0.35">
      <c r="A20" t="s">
        <v>234</v>
      </c>
      <c r="B20" s="7">
        <v>-27753</v>
      </c>
      <c r="C20" s="7">
        <v>-1750</v>
      </c>
      <c r="D20" s="7">
        <v>-12434</v>
      </c>
      <c r="E20" s="7">
        <v>-4806</v>
      </c>
      <c r="F20" s="7"/>
      <c r="G20" s="7"/>
      <c r="H20" s="7"/>
      <c r="I20" s="7"/>
      <c r="J20" s="7">
        <v>-13872</v>
      </c>
      <c r="K20" s="7">
        <v>-5732</v>
      </c>
      <c r="L20" s="7">
        <v>-66348</v>
      </c>
    </row>
    <row r="21" spans="1:12" x14ac:dyDescent="0.35">
      <c r="A21" t="s">
        <v>235</v>
      </c>
      <c r="B21" s="7"/>
      <c r="C21" s="7">
        <v>-1571</v>
      </c>
      <c r="D21" s="7">
        <v>-18</v>
      </c>
      <c r="E21" s="7">
        <v>-323</v>
      </c>
      <c r="F21" s="7"/>
      <c r="G21" s="7"/>
      <c r="H21" s="7"/>
      <c r="I21" s="7"/>
      <c r="J21" s="7">
        <v>-6756</v>
      </c>
      <c r="K21" s="7">
        <v>-374</v>
      </c>
      <c r="L21" s="7">
        <v>-9042</v>
      </c>
    </row>
    <row r="22" spans="1:12" x14ac:dyDescent="0.35">
      <c r="A22" t="s">
        <v>131</v>
      </c>
      <c r="B22" s="7">
        <v>358750</v>
      </c>
      <c r="C22" s="7">
        <v>1350</v>
      </c>
      <c r="D22" s="7">
        <v>128641</v>
      </c>
      <c r="E22" s="7">
        <v>9545</v>
      </c>
      <c r="F22" s="7"/>
      <c r="G22" s="7"/>
      <c r="H22" s="7">
        <v>1192</v>
      </c>
      <c r="I22" s="7">
        <v>203635</v>
      </c>
      <c r="J22" s="7">
        <v>68485</v>
      </c>
      <c r="K22" s="7">
        <v>19498</v>
      </c>
      <c r="L22" s="7">
        <v>791096</v>
      </c>
    </row>
    <row r="23" spans="1:12" x14ac:dyDescent="0.35">
      <c r="A23" t="s">
        <v>80</v>
      </c>
      <c r="B23" s="7">
        <v>239866</v>
      </c>
      <c r="C23" s="7">
        <v>749</v>
      </c>
      <c r="D23" s="7">
        <v>24313</v>
      </c>
      <c r="E23" s="7">
        <v>4119</v>
      </c>
      <c r="F23" s="7"/>
      <c r="G23" s="7"/>
      <c r="H23" s="7">
        <v>40</v>
      </c>
      <c r="I23" s="7"/>
      <c r="J23" s="7">
        <v>46451</v>
      </c>
      <c r="K23" s="7">
        <v>15748</v>
      </c>
      <c r="L23" s="7">
        <v>331287</v>
      </c>
    </row>
    <row r="24" spans="1:12" x14ac:dyDescent="0.35">
      <c r="A24" t="s">
        <v>82</v>
      </c>
      <c r="B24" s="7">
        <v>2908</v>
      </c>
      <c r="C24" s="7"/>
      <c r="D24" s="7">
        <v>41574</v>
      </c>
      <c r="E24" s="7"/>
      <c r="F24" s="7"/>
      <c r="G24" s="7"/>
      <c r="H24" s="7"/>
      <c r="I24" s="7"/>
      <c r="J24" s="7">
        <v>831</v>
      </c>
      <c r="K24" s="7"/>
      <c r="L24" s="7">
        <v>45313</v>
      </c>
    </row>
    <row r="25" spans="1:12" x14ac:dyDescent="0.35">
      <c r="A25" t="s">
        <v>86</v>
      </c>
      <c r="B25" s="7">
        <v>70134</v>
      </c>
      <c r="C25" s="7"/>
      <c r="D25" s="7">
        <v>7289</v>
      </c>
      <c r="E25" s="7">
        <v>1870</v>
      </c>
      <c r="F25" s="7"/>
      <c r="G25" s="7"/>
      <c r="H25" s="7">
        <v>726</v>
      </c>
      <c r="I25" s="7">
        <v>203615</v>
      </c>
      <c r="J25" s="7">
        <v>9293</v>
      </c>
      <c r="K25" s="7">
        <v>3018</v>
      </c>
      <c r="L25" s="7">
        <v>295945</v>
      </c>
    </row>
    <row r="26" spans="1:12" x14ac:dyDescent="0.35">
      <c r="A26" t="s">
        <v>88</v>
      </c>
      <c r="B26" s="7">
        <v>8870</v>
      </c>
      <c r="C26" s="7"/>
      <c r="D26" s="7">
        <v>10571</v>
      </c>
      <c r="E26" s="7">
        <v>408</v>
      </c>
      <c r="F26" s="7"/>
      <c r="G26" s="7"/>
      <c r="H26" s="7">
        <v>298</v>
      </c>
      <c r="I26" s="7">
        <v>10</v>
      </c>
      <c r="J26" s="7">
        <v>4882</v>
      </c>
      <c r="K26" s="7">
        <v>68</v>
      </c>
      <c r="L26" s="7">
        <v>25107</v>
      </c>
    </row>
    <row r="27" spans="1:12" x14ac:dyDescent="0.35">
      <c r="A27" t="s">
        <v>90</v>
      </c>
      <c r="B27" s="7">
        <v>9874</v>
      </c>
      <c r="C27" s="7"/>
      <c r="D27" s="7">
        <v>19019</v>
      </c>
      <c r="E27" s="7">
        <v>2</v>
      </c>
      <c r="F27" s="7"/>
      <c r="G27" s="7"/>
      <c r="H27" s="7">
        <v>121</v>
      </c>
      <c r="I27" s="7"/>
      <c r="J27" s="7">
        <v>5008</v>
      </c>
      <c r="K27" s="7">
        <v>4</v>
      </c>
      <c r="L27" s="7">
        <v>34028</v>
      </c>
    </row>
    <row r="28" spans="1:12" x14ac:dyDescent="0.35">
      <c r="A28" t="s">
        <v>92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</row>
    <row r="29" spans="1:12" x14ac:dyDescent="0.35">
      <c r="A29" t="s">
        <v>94</v>
      </c>
      <c r="B29" s="7">
        <v>13313</v>
      </c>
      <c r="C29" s="7">
        <v>326</v>
      </c>
      <c r="D29" s="7"/>
      <c r="E29" s="7"/>
      <c r="F29" s="7"/>
      <c r="G29" s="7"/>
      <c r="H29" s="7">
        <v>7</v>
      </c>
      <c r="I29" s="7">
        <v>10</v>
      </c>
      <c r="J29" s="7">
        <v>2020</v>
      </c>
      <c r="K29" s="7">
        <v>660</v>
      </c>
      <c r="L29" s="7">
        <v>16336</v>
      </c>
    </row>
    <row r="30" spans="1:12" x14ac:dyDescent="0.35">
      <c r="A30" t="s">
        <v>236</v>
      </c>
      <c r="B30" s="7">
        <v>13785</v>
      </c>
      <c r="C30" s="7">
        <v>275</v>
      </c>
      <c r="D30" s="7">
        <v>25874</v>
      </c>
      <c r="E30" s="7">
        <v>3147</v>
      </c>
      <c r="F30" s="7"/>
      <c r="G30" s="7"/>
      <c r="H30" s="7"/>
      <c r="I30" s="7"/>
      <c r="J30" s="7"/>
      <c r="K30" s="7"/>
      <c r="L30" s="7">
        <v>43080</v>
      </c>
    </row>
    <row r="32" spans="1:12" x14ac:dyDescent="0.35">
      <c r="B32" s="7">
        <f>SUM(B9,B10:B21,B22*-1)</f>
        <v>0</v>
      </c>
      <c r="C32" s="7">
        <f t="shared" ref="C32:L32" si="0">SUM(C9,C10:C21,C22*-1)</f>
        <v>0</v>
      </c>
      <c r="D32" s="7">
        <f t="shared" si="0"/>
        <v>1</v>
      </c>
      <c r="E32" s="7">
        <f t="shared" si="0"/>
        <v>0</v>
      </c>
      <c r="F32" s="7">
        <f t="shared" si="0"/>
        <v>0</v>
      </c>
      <c r="G32" s="7">
        <f t="shared" si="0"/>
        <v>0</v>
      </c>
      <c r="H32" s="7">
        <f t="shared" si="0"/>
        <v>0</v>
      </c>
      <c r="I32" s="7">
        <f t="shared" si="0"/>
        <v>0</v>
      </c>
      <c r="J32" s="7">
        <f t="shared" si="0"/>
        <v>0</v>
      </c>
      <c r="K32" s="7">
        <f t="shared" si="0"/>
        <v>0</v>
      </c>
      <c r="L32" s="7">
        <f t="shared" si="0"/>
        <v>1</v>
      </c>
    </row>
  </sheetData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Ark19"/>
  <dimension ref="A1:L32"/>
  <sheetViews>
    <sheetView workbookViewId="0">
      <selection activeCell="A3" sqref="A3:L30"/>
    </sheetView>
  </sheetViews>
  <sheetFormatPr defaultRowHeight="14.5" x14ac:dyDescent="0.35"/>
  <cols>
    <col min="1" max="1" width="30" customWidth="1"/>
    <col min="2" max="2" width="11.54296875" customWidth="1"/>
    <col min="3" max="3" width="12" customWidth="1"/>
    <col min="4" max="4" width="14.54296875" customWidth="1"/>
    <col min="5" max="5" width="14.1796875" customWidth="1"/>
    <col min="8" max="8" width="22.81640625" customWidth="1"/>
    <col min="9" max="9" width="21.81640625" customWidth="1"/>
    <col min="10" max="10" width="13.81640625" customWidth="1"/>
    <col min="11" max="11" width="12.26953125" customWidth="1"/>
    <col min="12" max="12" width="11.81640625" customWidth="1"/>
  </cols>
  <sheetData>
    <row r="1" spans="1:12" x14ac:dyDescent="0.35">
      <c r="B1" t="s">
        <v>214</v>
      </c>
      <c r="C1" t="s">
        <v>2</v>
      </c>
      <c r="D1" t="s">
        <v>215</v>
      </c>
      <c r="E1" t="s">
        <v>216</v>
      </c>
      <c r="F1" t="s">
        <v>5</v>
      </c>
      <c r="G1" t="s">
        <v>6</v>
      </c>
      <c r="H1" t="s">
        <v>217</v>
      </c>
      <c r="I1" t="s">
        <v>8</v>
      </c>
      <c r="J1" t="s">
        <v>9</v>
      </c>
      <c r="K1" t="s">
        <v>10</v>
      </c>
      <c r="L1" t="s">
        <v>218</v>
      </c>
    </row>
    <row r="2" spans="1:12" x14ac:dyDescent="0.35">
      <c r="B2" t="s">
        <v>219</v>
      </c>
      <c r="C2" t="s">
        <v>219</v>
      </c>
      <c r="D2" t="s">
        <v>219</v>
      </c>
      <c r="E2" t="s">
        <v>219</v>
      </c>
      <c r="F2" t="s">
        <v>219</v>
      </c>
      <c r="G2" t="s">
        <v>219</v>
      </c>
      <c r="H2" t="s">
        <v>219</v>
      </c>
      <c r="I2" t="s">
        <v>219</v>
      </c>
      <c r="J2" t="s">
        <v>219</v>
      </c>
      <c r="K2" t="s">
        <v>219</v>
      </c>
      <c r="L2" t="s">
        <v>219</v>
      </c>
    </row>
    <row r="3" spans="1:12" x14ac:dyDescent="0.35">
      <c r="A3" t="s">
        <v>17</v>
      </c>
      <c r="B3" s="7">
        <v>713503</v>
      </c>
      <c r="C3" s="7">
        <v>163080</v>
      </c>
      <c r="D3" s="7"/>
      <c r="E3" s="7">
        <v>22763</v>
      </c>
      <c r="F3" s="7">
        <v>4361</v>
      </c>
      <c r="G3" s="7">
        <v>19124</v>
      </c>
      <c r="H3" s="7">
        <v>2646</v>
      </c>
      <c r="I3" s="7">
        <v>198175</v>
      </c>
      <c r="J3" s="7"/>
      <c r="K3" s="7"/>
      <c r="L3" s="7">
        <v>1123652</v>
      </c>
    </row>
    <row r="4" spans="1:12" x14ac:dyDescent="0.35">
      <c r="A4" t="s">
        <v>220</v>
      </c>
      <c r="B4" s="7">
        <v>5233</v>
      </c>
      <c r="C4" s="7">
        <v>70265</v>
      </c>
      <c r="D4" s="7">
        <v>39456</v>
      </c>
      <c r="E4" s="7">
        <v>2452</v>
      </c>
      <c r="F4" s="7"/>
      <c r="G4" s="7"/>
      <c r="H4" s="7"/>
      <c r="I4" s="7">
        <v>7</v>
      </c>
      <c r="J4" s="7">
        <v>1010</v>
      </c>
      <c r="K4" s="7"/>
      <c r="L4" s="7">
        <v>118422</v>
      </c>
    </row>
    <row r="5" spans="1:12" x14ac:dyDescent="0.35">
      <c r="A5" t="s">
        <v>221</v>
      </c>
      <c r="B5" s="7">
        <v>-45589</v>
      </c>
      <c r="C5" s="7">
        <v>-10306</v>
      </c>
      <c r="D5" s="7">
        <v>-11873</v>
      </c>
      <c r="E5" s="7">
        <v>-2007</v>
      </c>
      <c r="F5" s="7"/>
      <c r="G5" s="7"/>
      <c r="H5" s="7"/>
      <c r="I5" s="7">
        <v>-2</v>
      </c>
      <c r="J5" s="7">
        <v>-951</v>
      </c>
      <c r="K5" s="7"/>
      <c r="L5" s="7">
        <v>-70728</v>
      </c>
    </row>
    <row r="6" spans="1:12" x14ac:dyDescent="0.35">
      <c r="A6" t="s">
        <v>222</v>
      </c>
      <c r="B6" s="7"/>
      <c r="C6" s="7"/>
      <c r="D6" s="7">
        <v>-6346</v>
      </c>
      <c r="E6" s="7"/>
      <c r="F6" s="7"/>
      <c r="G6" s="7"/>
      <c r="H6" s="7"/>
      <c r="I6" s="7"/>
      <c r="J6" s="7"/>
      <c r="K6" s="7"/>
      <c r="L6" s="7">
        <v>-6346</v>
      </c>
    </row>
    <row r="7" spans="1:12" x14ac:dyDescent="0.35">
      <c r="A7" t="s">
        <v>223</v>
      </c>
      <c r="B7" s="7"/>
      <c r="C7" s="7"/>
      <c r="D7" s="7">
        <v>-4214</v>
      </c>
      <c r="E7" s="7"/>
      <c r="F7" s="7"/>
      <c r="G7" s="7"/>
      <c r="H7" s="7"/>
      <c r="I7" s="7"/>
      <c r="J7" s="7"/>
      <c r="K7" s="7"/>
      <c r="L7" s="7">
        <v>-4214</v>
      </c>
    </row>
    <row r="8" spans="1:12" x14ac:dyDescent="0.35">
      <c r="A8" t="s">
        <v>224</v>
      </c>
      <c r="B8" s="7">
        <v>-4695</v>
      </c>
      <c r="C8" s="7">
        <v>-9129</v>
      </c>
      <c r="D8" s="7">
        <v>-3546</v>
      </c>
      <c r="E8" s="7"/>
      <c r="F8" s="7"/>
      <c r="G8" s="7"/>
      <c r="H8" s="7"/>
      <c r="I8" s="7"/>
      <c r="J8" s="7"/>
      <c r="K8" s="7"/>
      <c r="L8" s="7">
        <v>-17369</v>
      </c>
    </row>
    <row r="9" spans="1:12" x14ac:dyDescent="0.35">
      <c r="A9" t="s">
        <v>225</v>
      </c>
      <c r="B9" s="7">
        <v>668453</v>
      </c>
      <c r="C9" s="7">
        <v>213910</v>
      </c>
      <c r="D9" s="7">
        <v>13477</v>
      </c>
      <c r="E9" s="7">
        <v>23208</v>
      </c>
      <c r="F9" s="7">
        <v>4361</v>
      </c>
      <c r="G9" s="7">
        <v>19124</v>
      </c>
      <c r="H9" s="7">
        <v>2646</v>
      </c>
      <c r="I9" s="7">
        <v>198180</v>
      </c>
      <c r="J9" s="7">
        <v>59</v>
      </c>
      <c r="K9" s="7"/>
      <c r="L9" s="7">
        <v>1143418</v>
      </c>
    </row>
    <row r="10" spans="1:12" x14ac:dyDescent="0.35">
      <c r="A10" t="s">
        <v>226</v>
      </c>
      <c r="B10" s="7"/>
      <c r="C10" s="7">
        <v>-80</v>
      </c>
      <c r="D10" s="7">
        <v>94</v>
      </c>
      <c r="E10" s="7"/>
      <c r="F10" s="7"/>
      <c r="G10" s="7"/>
      <c r="H10" s="7"/>
      <c r="I10" s="7"/>
      <c r="J10" s="7"/>
      <c r="K10" s="7"/>
      <c r="L10" s="7">
        <v>14</v>
      </c>
    </row>
    <row r="11" spans="1:12" x14ac:dyDescent="0.35">
      <c r="A11" t="s">
        <v>227</v>
      </c>
      <c r="B11" s="7">
        <v>12846</v>
      </c>
      <c r="C11" s="7">
        <v>-1510</v>
      </c>
      <c r="D11" s="7">
        <v>1780</v>
      </c>
      <c r="E11" s="7">
        <v>-147</v>
      </c>
      <c r="F11" s="7"/>
      <c r="G11" s="7"/>
      <c r="H11" s="7">
        <v>-94</v>
      </c>
      <c r="I11" s="7"/>
      <c r="J11" s="7">
        <v>40</v>
      </c>
      <c r="K11" s="7"/>
      <c r="L11" s="7">
        <v>12916</v>
      </c>
    </row>
    <row r="12" spans="1:12" x14ac:dyDescent="0.35">
      <c r="A12" t="s">
        <v>228</v>
      </c>
      <c r="B12" s="7">
        <v>-288517</v>
      </c>
      <c r="C12" s="7">
        <v>-850</v>
      </c>
      <c r="D12" s="7">
        <v>-10800</v>
      </c>
      <c r="E12" s="7">
        <v>-3724</v>
      </c>
      <c r="F12" s="7">
        <v>-4361</v>
      </c>
      <c r="G12" s="7">
        <v>-19124</v>
      </c>
      <c r="H12" s="7">
        <v>-55</v>
      </c>
      <c r="I12" s="7">
        <v>-833</v>
      </c>
      <c r="J12" s="7">
        <v>119266</v>
      </c>
      <c r="K12" s="7"/>
      <c r="L12" s="7">
        <v>-208998</v>
      </c>
    </row>
    <row r="13" spans="1:12" x14ac:dyDescent="0.35">
      <c r="A13" t="s">
        <v>66</v>
      </c>
      <c r="B13" s="7"/>
      <c r="C13" s="7"/>
      <c r="D13" s="7"/>
      <c r="E13" s="7"/>
      <c r="F13" s="7"/>
      <c r="G13" s="7"/>
      <c r="H13" s="7"/>
      <c r="I13" s="7"/>
      <c r="J13" s="7"/>
      <c r="K13" s="7"/>
      <c r="L13" s="7"/>
    </row>
    <row r="14" spans="1:12" x14ac:dyDescent="0.35">
      <c r="A14" t="s">
        <v>229</v>
      </c>
      <c r="B14" s="7">
        <v>-45416</v>
      </c>
      <c r="C14" s="7">
        <v>-140</v>
      </c>
      <c r="D14" s="7">
        <v>-4033</v>
      </c>
      <c r="E14" s="7">
        <v>-1193</v>
      </c>
      <c r="F14" s="7"/>
      <c r="G14" s="7"/>
      <c r="H14" s="7"/>
      <c r="I14" s="7">
        <v>-487</v>
      </c>
      <c r="J14" s="7"/>
      <c r="K14" s="7">
        <v>34904</v>
      </c>
      <c r="L14" s="7">
        <v>-16364</v>
      </c>
    </row>
    <row r="15" spans="1:12" x14ac:dyDescent="0.35">
      <c r="A15" t="s">
        <v>230</v>
      </c>
      <c r="B15" s="7">
        <v>-1540</v>
      </c>
      <c r="C15" s="7"/>
      <c r="D15" s="7">
        <v>-893</v>
      </c>
      <c r="E15" s="7">
        <v>560</v>
      </c>
      <c r="F15" s="7"/>
      <c r="G15" s="7"/>
      <c r="H15" s="7"/>
      <c r="I15" s="7"/>
      <c r="J15" s="7"/>
      <c r="K15" s="7"/>
      <c r="L15" s="7">
        <v>-1873</v>
      </c>
    </row>
    <row r="16" spans="1:12" x14ac:dyDescent="0.35">
      <c r="A16" t="s">
        <v>70</v>
      </c>
      <c r="B16" s="7"/>
      <c r="C16" s="7">
        <v>-203053</v>
      </c>
      <c r="D16" s="7">
        <v>199973</v>
      </c>
      <c r="E16" s="7"/>
      <c r="F16" s="7"/>
      <c r="G16" s="7"/>
      <c r="H16" s="7"/>
      <c r="I16" s="7"/>
      <c r="J16" s="7"/>
      <c r="K16" s="7"/>
      <c r="L16" s="7">
        <v>-3080</v>
      </c>
    </row>
    <row r="17" spans="1:12" x14ac:dyDescent="0.35">
      <c r="A17" t="s">
        <v>231</v>
      </c>
      <c r="B17" s="7">
        <v>-35953</v>
      </c>
      <c r="C17" s="7"/>
      <c r="D17" s="7"/>
      <c r="E17" s="7"/>
      <c r="F17" s="7"/>
      <c r="G17" s="7"/>
      <c r="H17" s="7"/>
      <c r="I17" s="7"/>
      <c r="J17" s="7"/>
      <c r="K17" s="7"/>
      <c r="L17" s="7">
        <v>-35953</v>
      </c>
    </row>
    <row r="18" spans="1:12" x14ac:dyDescent="0.35">
      <c r="A18" t="s">
        <v>232</v>
      </c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</row>
    <row r="19" spans="1:12" x14ac:dyDescent="0.35">
      <c r="A19" t="s">
        <v>233</v>
      </c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</row>
    <row r="20" spans="1:12" x14ac:dyDescent="0.35">
      <c r="A20" t="s">
        <v>234</v>
      </c>
      <c r="B20" s="7">
        <v>-35312</v>
      </c>
      <c r="C20" s="7">
        <v>-4109</v>
      </c>
      <c r="D20" s="7">
        <v>-15815</v>
      </c>
      <c r="E20" s="7">
        <v>-5209</v>
      </c>
      <c r="F20" s="7"/>
      <c r="G20" s="7"/>
      <c r="H20" s="7"/>
      <c r="I20" s="7"/>
      <c r="J20" s="7">
        <v>-18929</v>
      </c>
      <c r="K20" s="7">
        <v>-8983</v>
      </c>
      <c r="L20" s="7">
        <v>-88357</v>
      </c>
    </row>
    <row r="21" spans="1:12" x14ac:dyDescent="0.35">
      <c r="A21" t="s">
        <v>235</v>
      </c>
      <c r="B21" s="7">
        <v>-96</v>
      </c>
      <c r="C21" s="7">
        <v>-1909</v>
      </c>
      <c r="D21" s="7">
        <v>-24</v>
      </c>
      <c r="E21" s="7">
        <v>-557</v>
      </c>
      <c r="F21" s="7"/>
      <c r="G21" s="7"/>
      <c r="H21" s="7"/>
      <c r="I21" s="7"/>
      <c r="J21" s="7">
        <v>-8185</v>
      </c>
      <c r="K21" s="7">
        <v>-421</v>
      </c>
      <c r="L21" s="7">
        <v>-11193</v>
      </c>
    </row>
    <row r="22" spans="1:12" x14ac:dyDescent="0.35">
      <c r="A22" t="s">
        <v>131</v>
      </c>
      <c r="B22" s="7">
        <v>274465</v>
      </c>
      <c r="C22" s="7">
        <v>2259</v>
      </c>
      <c r="D22" s="7">
        <v>183759</v>
      </c>
      <c r="E22" s="7">
        <v>12938</v>
      </c>
      <c r="F22" s="7"/>
      <c r="G22" s="7"/>
      <c r="H22" s="7">
        <v>2497</v>
      </c>
      <c r="I22" s="7">
        <v>196861</v>
      </c>
      <c r="J22" s="7">
        <v>92251</v>
      </c>
      <c r="K22" s="7">
        <v>25501</v>
      </c>
      <c r="L22" s="7">
        <v>790531</v>
      </c>
    </row>
    <row r="23" spans="1:12" x14ac:dyDescent="0.35">
      <c r="A23" t="s">
        <v>80</v>
      </c>
      <c r="B23" s="7">
        <v>188560</v>
      </c>
      <c r="C23" s="7">
        <v>1233</v>
      </c>
      <c r="D23" s="7">
        <v>31302</v>
      </c>
      <c r="E23" s="7">
        <v>4215</v>
      </c>
      <c r="F23" s="7"/>
      <c r="G23" s="7"/>
      <c r="H23" s="7">
        <v>67</v>
      </c>
      <c r="I23" s="7"/>
      <c r="J23" s="7">
        <v>59758</v>
      </c>
      <c r="K23" s="7">
        <v>18889</v>
      </c>
      <c r="L23" s="7">
        <v>304025</v>
      </c>
    </row>
    <row r="24" spans="1:12" x14ac:dyDescent="0.35">
      <c r="A24" t="s">
        <v>82</v>
      </c>
      <c r="B24" s="7">
        <v>468</v>
      </c>
      <c r="C24" s="7"/>
      <c r="D24" s="7">
        <v>85342</v>
      </c>
      <c r="E24" s="7">
        <v>155</v>
      </c>
      <c r="F24" s="7"/>
      <c r="G24" s="7"/>
      <c r="H24" s="7"/>
      <c r="I24" s="7"/>
      <c r="J24" s="7">
        <v>1431</v>
      </c>
      <c r="K24" s="7"/>
      <c r="L24" s="7">
        <v>87396</v>
      </c>
    </row>
    <row r="25" spans="1:12" x14ac:dyDescent="0.35">
      <c r="A25" t="s">
        <v>86</v>
      </c>
      <c r="B25" s="7">
        <v>46521</v>
      </c>
      <c r="C25" s="7"/>
      <c r="D25" s="7">
        <v>11988</v>
      </c>
      <c r="E25" s="7">
        <v>3003</v>
      </c>
      <c r="F25" s="7"/>
      <c r="G25" s="7"/>
      <c r="H25" s="7">
        <v>1660</v>
      </c>
      <c r="I25" s="7">
        <v>196852</v>
      </c>
      <c r="J25" s="7">
        <v>13255</v>
      </c>
      <c r="K25" s="7">
        <v>5549</v>
      </c>
      <c r="L25" s="7">
        <v>278827</v>
      </c>
    </row>
    <row r="26" spans="1:12" x14ac:dyDescent="0.35">
      <c r="A26" t="s">
        <v>88</v>
      </c>
      <c r="B26" s="7">
        <v>8300</v>
      </c>
      <c r="C26" s="7"/>
      <c r="D26" s="7">
        <v>7927</v>
      </c>
      <c r="E26" s="7">
        <v>764</v>
      </c>
      <c r="F26" s="7"/>
      <c r="G26" s="7"/>
      <c r="H26" s="7">
        <v>554</v>
      </c>
      <c r="I26" s="7">
        <v>4</v>
      </c>
      <c r="J26" s="7">
        <v>7961</v>
      </c>
      <c r="K26" s="7">
        <v>444</v>
      </c>
      <c r="L26" s="7">
        <v>25953</v>
      </c>
    </row>
    <row r="27" spans="1:12" x14ac:dyDescent="0.35">
      <c r="A27" t="s">
        <v>90</v>
      </c>
      <c r="B27" s="7">
        <v>5797</v>
      </c>
      <c r="C27" s="7"/>
      <c r="D27" s="7">
        <v>8053</v>
      </c>
      <c r="E27" s="7"/>
      <c r="F27" s="7"/>
      <c r="G27" s="7"/>
      <c r="H27" s="7">
        <v>205</v>
      </c>
      <c r="I27" s="7"/>
      <c r="J27" s="7">
        <v>4583</v>
      </c>
      <c r="K27" s="7">
        <v>9</v>
      </c>
      <c r="L27" s="7">
        <v>18647</v>
      </c>
    </row>
    <row r="28" spans="1:12" x14ac:dyDescent="0.35">
      <c r="A28" t="s">
        <v>92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</row>
    <row r="29" spans="1:12" x14ac:dyDescent="0.35">
      <c r="A29" t="s">
        <v>94</v>
      </c>
      <c r="B29" s="7">
        <v>12303</v>
      </c>
      <c r="C29" s="7">
        <v>212</v>
      </c>
      <c r="D29" s="7"/>
      <c r="E29" s="7"/>
      <c r="F29" s="7"/>
      <c r="G29" s="7"/>
      <c r="H29" s="7">
        <v>11</v>
      </c>
      <c r="I29" s="7">
        <v>4</v>
      </c>
      <c r="J29" s="7">
        <v>5264</v>
      </c>
      <c r="K29" s="7">
        <v>609</v>
      </c>
      <c r="L29" s="7">
        <v>18404</v>
      </c>
    </row>
    <row r="30" spans="1:12" x14ac:dyDescent="0.35">
      <c r="A30" t="s">
        <v>236</v>
      </c>
      <c r="B30" s="7">
        <v>12517</v>
      </c>
      <c r="C30" s="7">
        <v>814</v>
      </c>
      <c r="D30" s="7">
        <v>39148</v>
      </c>
      <c r="E30" s="7">
        <v>4801</v>
      </c>
      <c r="F30" s="7"/>
      <c r="G30" s="7"/>
      <c r="H30" s="7"/>
      <c r="I30" s="7"/>
      <c r="J30" s="7"/>
      <c r="K30" s="7"/>
      <c r="L30" s="7">
        <v>57279</v>
      </c>
    </row>
    <row r="32" spans="1:12" x14ac:dyDescent="0.35">
      <c r="B32" s="7">
        <f>SUM(B9,B10:B21,B22*-1)</f>
        <v>0</v>
      </c>
      <c r="C32" s="7">
        <f t="shared" ref="C32:L32" si="0">SUM(C9,C10:C21,C22*-1)</f>
        <v>0</v>
      </c>
      <c r="D32" s="7">
        <f t="shared" si="0"/>
        <v>0</v>
      </c>
      <c r="E32" s="7">
        <f t="shared" si="0"/>
        <v>0</v>
      </c>
      <c r="F32" s="7">
        <f t="shared" si="0"/>
        <v>0</v>
      </c>
      <c r="G32" s="7">
        <f t="shared" si="0"/>
        <v>0</v>
      </c>
      <c r="H32" s="7">
        <f t="shared" si="0"/>
        <v>0</v>
      </c>
      <c r="I32" s="7">
        <f t="shared" si="0"/>
        <v>-1</v>
      </c>
      <c r="J32" s="7">
        <f t="shared" si="0"/>
        <v>0</v>
      </c>
      <c r="K32" s="7">
        <f t="shared" si="0"/>
        <v>-1</v>
      </c>
      <c r="L32" s="7">
        <f t="shared" si="0"/>
        <v>-1</v>
      </c>
    </row>
  </sheetData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Ark20"/>
  <dimension ref="A1:L32"/>
  <sheetViews>
    <sheetView workbookViewId="0">
      <selection activeCell="A3" sqref="A3:L30"/>
    </sheetView>
  </sheetViews>
  <sheetFormatPr defaultRowHeight="14.5" x14ac:dyDescent="0.35"/>
  <cols>
    <col min="1" max="1" width="30" customWidth="1"/>
    <col min="2" max="2" width="11.54296875" customWidth="1"/>
    <col min="3" max="3" width="12" customWidth="1"/>
    <col min="4" max="4" width="14.54296875" customWidth="1"/>
    <col min="5" max="5" width="14.1796875" customWidth="1"/>
    <col min="8" max="8" width="22.81640625" customWidth="1"/>
    <col min="9" max="9" width="21.81640625" customWidth="1"/>
    <col min="10" max="10" width="13.81640625" customWidth="1"/>
    <col min="11" max="11" width="12.26953125" customWidth="1"/>
    <col min="12" max="12" width="11.81640625" customWidth="1"/>
  </cols>
  <sheetData>
    <row r="1" spans="1:12" x14ac:dyDescent="0.35">
      <c r="B1" t="s">
        <v>214</v>
      </c>
      <c r="C1" t="s">
        <v>2</v>
      </c>
      <c r="D1" t="s">
        <v>215</v>
      </c>
      <c r="E1" t="s">
        <v>216</v>
      </c>
      <c r="F1" t="s">
        <v>5</v>
      </c>
      <c r="G1" t="s">
        <v>6</v>
      </c>
      <c r="H1" t="s">
        <v>217</v>
      </c>
      <c r="I1" t="s">
        <v>8</v>
      </c>
      <c r="J1" t="s">
        <v>9</v>
      </c>
      <c r="K1" t="s">
        <v>10</v>
      </c>
      <c r="L1" t="s">
        <v>218</v>
      </c>
    </row>
    <row r="2" spans="1:12" x14ac:dyDescent="0.35">
      <c r="B2" t="s">
        <v>219</v>
      </c>
      <c r="C2" t="s">
        <v>219</v>
      </c>
      <c r="D2" t="s">
        <v>219</v>
      </c>
      <c r="E2" t="s">
        <v>219</v>
      </c>
      <c r="F2" t="s">
        <v>219</v>
      </c>
      <c r="G2" t="s">
        <v>219</v>
      </c>
      <c r="H2" t="s">
        <v>219</v>
      </c>
      <c r="I2" t="s">
        <v>219</v>
      </c>
      <c r="J2" t="s">
        <v>219</v>
      </c>
      <c r="K2" t="s">
        <v>219</v>
      </c>
      <c r="L2" t="s">
        <v>219</v>
      </c>
    </row>
    <row r="3" spans="1:12" x14ac:dyDescent="0.35">
      <c r="A3" t="s">
        <v>17</v>
      </c>
      <c r="B3" s="7">
        <v>1227032</v>
      </c>
      <c r="C3" s="7">
        <v>181427</v>
      </c>
      <c r="D3" s="7"/>
      <c r="E3" s="7">
        <v>41274</v>
      </c>
      <c r="F3" s="7">
        <v>13833</v>
      </c>
      <c r="G3" s="7">
        <v>34137</v>
      </c>
      <c r="H3" s="7">
        <v>5282</v>
      </c>
      <c r="I3" s="7">
        <v>168399</v>
      </c>
      <c r="J3" s="7"/>
      <c r="K3" s="7"/>
      <c r="L3" s="7">
        <v>1671385</v>
      </c>
    </row>
    <row r="4" spans="1:12" x14ac:dyDescent="0.35">
      <c r="A4" t="s">
        <v>220</v>
      </c>
      <c r="B4" s="7">
        <v>21586</v>
      </c>
      <c r="C4" s="7">
        <v>126817</v>
      </c>
      <c r="D4" s="7">
        <v>57367</v>
      </c>
      <c r="E4" s="7">
        <v>2189</v>
      </c>
      <c r="F4" s="7"/>
      <c r="G4" s="7"/>
      <c r="H4" s="7"/>
      <c r="I4" s="7">
        <v>6</v>
      </c>
      <c r="J4" s="7">
        <v>1377</v>
      </c>
      <c r="K4" s="7"/>
      <c r="L4" s="7">
        <v>209341</v>
      </c>
    </row>
    <row r="5" spans="1:12" x14ac:dyDescent="0.35">
      <c r="A5" t="s">
        <v>221</v>
      </c>
      <c r="B5" s="7">
        <v>-55262</v>
      </c>
      <c r="C5" s="7">
        <v>-8067</v>
      </c>
      <c r="D5" s="7">
        <v>-19018</v>
      </c>
      <c r="E5" s="7">
        <v>-2485</v>
      </c>
      <c r="F5" s="7"/>
      <c r="G5" s="7"/>
      <c r="H5" s="7"/>
      <c r="I5" s="7">
        <v>-1</v>
      </c>
      <c r="J5" s="7">
        <v>-1349</v>
      </c>
      <c r="K5" s="7"/>
      <c r="L5" s="7">
        <v>-86182</v>
      </c>
    </row>
    <row r="6" spans="1:12" x14ac:dyDescent="0.35">
      <c r="A6" t="s">
        <v>222</v>
      </c>
      <c r="B6" s="7"/>
      <c r="C6" s="7"/>
      <c r="D6" s="7">
        <v>-10665</v>
      </c>
      <c r="E6" s="7"/>
      <c r="F6" s="7"/>
      <c r="G6" s="7"/>
      <c r="H6" s="7"/>
      <c r="I6" s="7"/>
      <c r="J6" s="7"/>
      <c r="K6" s="7"/>
      <c r="L6" s="7">
        <v>-10665</v>
      </c>
    </row>
    <row r="7" spans="1:12" x14ac:dyDescent="0.35">
      <c r="A7" t="s">
        <v>223</v>
      </c>
      <c r="B7" s="7"/>
      <c r="C7" s="7"/>
      <c r="D7" s="7">
        <v>-8329</v>
      </c>
      <c r="E7" s="7"/>
      <c r="F7" s="7"/>
      <c r="G7" s="7"/>
      <c r="H7" s="7"/>
      <c r="I7" s="7"/>
      <c r="J7" s="7"/>
      <c r="K7" s="7"/>
      <c r="L7" s="7">
        <v>-8329</v>
      </c>
    </row>
    <row r="8" spans="1:12" x14ac:dyDescent="0.35">
      <c r="A8" t="s">
        <v>224</v>
      </c>
      <c r="B8" s="7">
        <v>17007</v>
      </c>
      <c r="C8" s="7">
        <v>788</v>
      </c>
      <c r="D8" s="7">
        <v>595</v>
      </c>
      <c r="E8" s="7"/>
      <c r="F8" s="7"/>
      <c r="G8" s="7"/>
      <c r="H8" s="7"/>
      <c r="I8" s="7"/>
      <c r="J8" s="7"/>
      <c r="K8" s="7"/>
      <c r="L8" s="7">
        <v>18390</v>
      </c>
    </row>
    <row r="9" spans="1:12" x14ac:dyDescent="0.35">
      <c r="A9" t="s">
        <v>225</v>
      </c>
      <c r="B9" s="7">
        <v>1210363</v>
      </c>
      <c r="C9" s="7">
        <v>300965</v>
      </c>
      <c r="D9" s="7">
        <v>19949</v>
      </c>
      <c r="E9" s="7">
        <v>40978</v>
      </c>
      <c r="F9" s="7">
        <v>13833</v>
      </c>
      <c r="G9" s="7">
        <v>34137</v>
      </c>
      <c r="H9" s="7">
        <v>5282</v>
      </c>
      <c r="I9" s="7">
        <v>168405</v>
      </c>
      <c r="J9" s="7">
        <v>28</v>
      </c>
      <c r="K9" s="7"/>
      <c r="L9" s="7">
        <v>1793941</v>
      </c>
    </row>
    <row r="10" spans="1:12" x14ac:dyDescent="0.35">
      <c r="A10" t="s">
        <v>226</v>
      </c>
      <c r="B10" s="7"/>
      <c r="C10" s="7">
        <v>-74</v>
      </c>
      <c r="D10" s="7">
        <v>88</v>
      </c>
      <c r="E10" s="7"/>
      <c r="F10" s="7"/>
      <c r="G10" s="7"/>
      <c r="H10" s="7"/>
      <c r="I10" s="7"/>
      <c r="J10" s="7"/>
      <c r="K10" s="7"/>
      <c r="L10" s="7">
        <v>13</v>
      </c>
    </row>
    <row r="11" spans="1:12" x14ac:dyDescent="0.35">
      <c r="A11" t="s">
        <v>227</v>
      </c>
      <c r="B11" s="7">
        <v>26692</v>
      </c>
      <c r="C11" s="7">
        <v>-1</v>
      </c>
      <c r="D11" s="7">
        <v>925</v>
      </c>
      <c r="E11" s="7">
        <v>186</v>
      </c>
      <c r="F11" s="7"/>
      <c r="G11" s="7"/>
      <c r="H11" s="7"/>
      <c r="I11" s="7"/>
      <c r="J11" s="7">
        <v>170</v>
      </c>
      <c r="K11" s="7"/>
      <c r="L11" s="7">
        <v>27972</v>
      </c>
    </row>
    <row r="12" spans="1:12" x14ac:dyDescent="0.35">
      <c r="A12" t="s">
        <v>228</v>
      </c>
      <c r="B12" s="7">
        <v>-291344</v>
      </c>
      <c r="C12" s="7">
        <v>-413</v>
      </c>
      <c r="D12" s="7">
        <v>-12034</v>
      </c>
      <c r="E12" s="7">
        <v>-3550</v>
      </c>
      <c r="F12" s="7">
        <v>-13833</v>
      </c>
      <c r="G12" s="7">
        <v>-34137</v>
      </c>
      <c r="H12" s="7">
        <v>-281</v>
      </c>
      <c r="I12" s="7">
        <v>-1789</v>
      </c>
      <c r="J12" s="7">
        <v>139210</v>
      </c>
      <c r="K12" s="7"/>
      <c r="L12" s="7">
        <v>-218171</v>
      </c>
    </row>
    <row r="13" spans="1:12" x14ac:dyDescent="0.35">
      <c r="A13" t="s">
        <v>66</v>
      </c>
      <c r="B13" s="7">
        <v>-279177</v>
      </c>
      <c r="C13" s="7"/>
      <c r="D13" s="7"/>
      <c r="E13" s="7">
        <v>-1710</v>
      </c>
      <c r="F13" s="7"/>
      <c r="G13" s="7"/>
      <c r="H13" s="7"/>
      <c r="I13" s="7"/>
      <c r="J13" s="7">
        <v>79097</v>
      </c>
      <c r="K13" s="7">
        <v>49889</v>
      </c>
      <c r="L13" s="7">
        <v>-151901</v>
      </c>
    </row>
    <row r="14" spans="1:12" x14ac:dyDescent="0.35">
      <c r="A14" t="s">
        <v>229</v>
      </c>
      <c r="B14" s="7">
        <v>-2255</v>
      </c>
      <c r="C14" s="7">
        <v>-30</v>
      </c>
      <c r="D14" s="7">
        <v>-2867</v>
      </c>
      <c r="E14" s="7"/>
      <c r="F14" s="7"/>
      <c r="G14" s="7"/>
      <c r="H14" s="7"/>
      <c r="I14" s="7">
        <v>-483</v>
      </c>
      <c r="J14" s="7"/>
      <c r="K14" s="7">
        <v>4782</v>
      </c>
      <c r="L14" s="7">
        <v>-853</v>
      </c>
    </row>
    <row r="15" spans="1:12" x14ac:dyDescent="0.35">
      <c r="A15" t="s">
        <v>230</v>
      </c>
      <c r="B15" s="7">
        <v>-2308</v>
      </c>
      <c r="C15" s="7"/>
      <c r="D15" s="7">
        <v>-808</v>
      </c>
      <c r="E15" s="7">
        <v>243</v>
      </c>
      <c r="F15" s="7"/>
      <c r="G15" s="7"/>
      <c r="H15" s="7"/>
      <c r="I15" s="7"/>
      <c r="J15" s="7"/>
      <c r="K15" s="7"/>
      <c r="L15" s="7">
        <v>-2874</v>
      </c>
    </row>
    <row r="16" spans="1:12" x14ac:dyDescent="0.35">
      <c r="A16" t="s">
        <v>70</v>
      </c>
      <c r="B16" s="7"/>
      <c r="C16" s="7">
        <v>-290405</v>
      </c>
      <c r="D16" s="7">
        <v>285339</v>
      </c>
      <c r="E16" s="7"/>
      <c r="F16" s="7"/>
      <c r="G16" s="7"/>
      <c r="H16" s="7"/>
      <c r="I16" s="7"/>
      <c r="J16" s="7"/>
      <c r="K16" s="7"/>
      <c r="L16" s="7">
        <v>-5066</v>
      </c>
    </row>
    <row r="17" spans="1:12" x14ac:dyDescent="0.35">
      <c r="A17" t="s">
        <v>231</v>
      </c>
      <c r="B17" s="7">
        <v>-84471</v>
      </c>
      <c r="C17" s="7"/>
      <c r="D17" s="7"/>
      <c r="E17" s="7"/>
      <c r="F17" s="7"/>
      <c r="G17" s="7"/>
      <c r="H17" s="7"/>
      <c r="I17" s="7"/>
      <c r="J17" s="7"/>
      <c r="K17" s="7"/>
      <c r="L17" s="7">
        <v>-84471</v>
      </c>
    </row>
    <row r="18" spans="1:12" x14ac:dyDescent="0.35">
      <c r="A18" t="s">
        <v>232</v>
      </c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</row>
    <row r="19" spans="1:12" x14ac:dyDescent="0.35">
      <c r="A19" t="s">
        <v>233</v>
      </c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</row>
    <row r="20" spans="1:12" x14ac:dyDescent="0.35">
      <c r="A20" t="s">
        <v>234</v>
      </c>
      <c r="B20" s="7">
        <v>-38629</v>
      </c>
      <c r="C20" s="7">
        <v>-4887</v>
      </c>
      <c r="D20" s="7">
        <v>-17687</v>
      </c>
      <c r="E20" s="7">
        <v>-5598</v>
      </c>
      <c r="F20" s="7"/>
      <c r="G20" s="7"/>
      <c r="H20" s="7"/>
      <c r="I20" s="7"/>
      <c r="J20" s="7">
        <v>-28724</v>
      </c>
      <c r="K20" s="7">
        <v>-10650</v>
      </c>
      <c r="L20" s="7">
        <v>-106176</v>
      </c>
    </row>
    <row r="21" spans="1:12" x14ac:dyDescent="0.35">
      <c r="A21" t="s">
        <v>235</v>
      </c>
      <c r="B21" s="7"/>
      <c r="C21" s="7">
        <v>-1538</v>
      </c>
      <c r="D21" s="7">
        <v>-20</v>
      </c>
      <c r="E21" s="7">
        <v>-864</v>
      </c>
      <c r="F21" s="7"/>
      <c r="G21" s="7"/>
      <c r="H21" s="7"/>
      <c r="I21" s="7"/>
      <c r="J21" s="7">
        <v>-14832</v>
      </c>
      <c r="K21" s="7">
        <v>-630</v>
      </c>
      <c r="L21" s="7">
        <v>-17884</v>
      </c>
    </row>
    <row r="22" spans="1:12" x14ac:dyDescent="0.35">
      <c r="A22" t="s">
        <v>131</v>
      </c>
      <c r="B22" s="7">
        <v>538872</v>
      </c>
      <c r="C22" s="7">
        <v>3617</v>
      </c>
      <c r="D22" s="7">
        <v>272883</v>
      </c>
      <c r="E22" s="7">
        <v>29685</v>
      </c>
      <c r="F22" s="7"/>
      <c r="G22" s="7"/>
      <c r="H22" s="7">
        <v>5001</v>
      </c>
      <c r="I22" s="7">
        <v>166133</v>
      </c>
      <c r="J22" s="7">
        <v>174949</v>
      </c>
      <c r="K22" s="7">
        <v>43391</v>
      </c>
      <c r="L22" s="7">
        <v>1234531</v>
      </c>
    </row>
    <row r="23" spans="1:12" x14ac:dyDescent="0.35">
      <c r="A23" t="s">
        <v>80</v>
      </c>
      <c r="B23" s="7">
        <v>419591</v>
      </c>
      <c r="C23" s="7">
        <v>2486</v>
      </c>
      <c r="D23" s="7">
        <v>42836</v>
      </c>
      <c r="E23" s="7">
        <v>10887</v>
      </c>
      <c r="F23" s="7"/>
      <c r="G23" s="7"/>
      <c r="H23" s="7">
        <v>96</v>
      </c>
      <c r="I23" s="7"/>
      <c r="J23" s="7">
        <v>116875</v>
      </c>
      <c r="K23" s="7">
        <v>29163</v>
      </c>
      <c r="L23" s="7">
        <v>621935</v>
      </c>
    </row>
    <row r="24" spans="1:12" x14ac:dyDescent="0.35">
      <c r="A24" t="s">
        <v>82</v>
      </c>
      <c r="B24" s="7">
        <v>1</v>
      </c>
      <c r="C24" s="7"/>
      <c r="D24" s="7">
        <v>132133</v>
      </c>
      <c r="E24" s="7">
        <v>1477</v>
      </c>
      <c r="F24" s="7"/>
      <c r="G24" s="7"/>
      <c r="H24" s="7"/>
      <c r="I24" s="7">
        <v>697</v>
      </c>
      <c r="J24" s="7">
        <v>2779</v>
      </c>
      <c r="K24" s="7"/>
      <c r="L24" s="7">
        <v>137086</v>
      </c>
    </row>
    <row r="25" spans="1:12" x14ac:dyDescent="0.35">
      <c r="A25" t="s">
        <v>86</v>
      </c>
      <c r="B25" s="7">
        <v>54477</v>
      </c>
      <c r="C25" s="7"/>
      <c r="D25" s="7">
        <v>18308</v>
      </c>
      <c r="E25" s="7">
        <v>6979</v>
      </c>
      <c r="F25" s="7"/>
      <c r="G25" s="7"/>
      <c r="H25" s="7">
        <v>3658</v>
      </c>
      <c r="I25" s="7">
        <v>165425</v>
      </c>
      <c r="J25" s="7">
        <v>25660</v>
      </c>
      <c r="K25" s="7">
        <v>12430</v>
      </c>
      <c r="L25" s="7">
        <v>286939</v>
      </c>
    </row>
    <row r="26" spans="1:12" x14ac:dyDescent="0.35">
      <c r="A26" t="s">
        <v>88</v>
      </c>
      <c r="B26" s="7">
        <v>14253</v>
      </c>
      <c r="C26" s="7"/>
      <c r="D26" s="7">
        <v>9794</v>
      </c>
      <c r="E26" s="7">
        <v>3004</v>
      </c>
      <c r="F26" s="7"/>
      <c r="G26" s="7"/>
      <c r="H26" s="7">
        <v>936</v>
      </c>
      <c r="I26" s="7">
        <v>5</v>
      </c>
      <c r="J26" s="7">
        <v>12281</v>
      </c>
      <c r="K26" s="7">
        <v>796</v>
      </c>
      <c r="L26" s="7">
        <v>41068</v>
      </c>
    </row>
    <row r="27" spans="1:12" x14ac:dyDescent="0.35">
      <c r="A27" t="s">
        <v>90</v>
      </c>
      <c r="B27" s="7">
        <v>9549</v>
      </c>
      <c r="C27" s="7"/>
      <c r="D27" s="7">
        <v>14830</v>
      </c>
      <c r="E27" s="7"/>
      <c r="F27" s="7"/>
      <c r="G27" s="7"/>
      <c r="H27" s="7">
        <v>294</v>
      </c>
      <c r="I27" s="7"/>
      <c r="J27" s="7">
        <v>6675</v>
      </c>
      <c r="K27" s="7">
        <v>13</v>
      </c>
      <c r="L27" s="7">
        <v>31361</v>
      </c>
    </row>
    <row r="28" spans="1:12" x14ac:dyDescent="0.35">
      <c r="A28" t="s">
        <v>92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</row>
    <row r="29" spans="1:12" x14ac:dyDescent="0.35">
      <c r="A29" t="s">
        <v>94</v>
      </c>
      <c r="B29" s="7">
        <v>18801</v>
      </c>
      <c r="C29" s="7"/>
      <c r="D29" s="7"/>
      <c r="E29" s="7"/>
      <c r="F29" s="7"/>
      <c r="G29" s="7"/>
      <c r="H29" s="7">
        <v>16</v>
      </c>
      <c r="I29" s="7">
        <v>5</v>
      </c>
      <c r="J29" s="7">
        <v>10680</v>
      </c>
      <c r="K29" s="7">
        <v>988</v>
      </c>
      <c r="L29" s="7">
        <v>30490</v>
      </c>
    </row>
    <row r="30" spans="1:12" x14ac:dyDescent="0.35">
      <c r="A30" t="s">
        <v>236</v>
      </c>
      <c r="B30" s="7">
        <v>22201</v>
      </c>
      <c r="C30" s="7">
        <v>1131</v>
      </c>
      <c r="D30" s="7">
        <v>54983</v>
      </c>
      <c r="E30" s="7">
        <v>7338</v>
      </c>
      <c r="F30" s="7"/>
      <c r="G30" s="7"/>
      <c r="H30" s="7"/>
      <c r="I30" s="7"/>
      <c r="J30" s="7"/>
      <c r="K30" s="7"/>
      <c r="L30" s="7">
        <v>85653</v>
      </c>
    </row>
    <row r="32" spans="1:12" x14ac:dyDescent="0.35">
      <c r="B32" s="7">
        <f>SUM(B9,B10:B21,B22*-1)</f>
        <v>-1</v>
      </c>
      <c r="C32" s="7">
        <f t="shared" ref="C32:L32" si="0">SUM(C9,C10:C21,C22*-1)</f>
        <v>0</v>
      </c>
      <c r="D32" s="7">
        <f t="shared" si="0"/>
        <v>2</v>
      </c>
      <c r="E32" s="7">
        <f t="shared" si="0"/>
        <v>0</v>
      </c>
      <c r="F32" s="7">
        <f t="shared" si="0"/>
        <v>0</v>
      </c>
      <c r="G32" s="7">
        <f t="shared" si="0"/>
        <v>0</v>
      </c>
      <c r="H32" s="7">
        <f t="shared" si="0"/>
        <v>0</v>
      </c>
      <c r="I32" s="7">
        <f t="shared" si="0"/>
        <v>0</v>
      </c>
      <c r="J32" s="7">
        <f t="shared" si="0"/>
        <v>0</v>
      </c>
      <c r="K32" s="7">
        <f t="shared" si="0"/>
        <v>0</v>
      </c>
      <c r="L32" s="7">
        <f t="shared" si="0"/>
        <v>-1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18"/>
  <sheetViews>
    <sheetView zoomScale="70" zoomScaleNormal="70" workbookViewId="0">
      <selection activeCell="C28" sqref="C28"/>
    </sheetView>
  </sheetViews>
  <sheetFormatPr defaultRowHeight="14.5" x14ac:dyDescent="0.35"/>
  <cols>
    <col min="1" max="1" width="232" customWidth="1"/>
  </cols>
  <sheetData>
    <row r="1" spans="1:1" x14ac:dyDescent="0.35">
      <c r="A1" s="96" t="s">
        <v>98</v>
      </c>
    </row>
    <row r="2" spans="1:1" x14ac:dyDescent="0.35">
      <c r="A2" s="96"/>
    </row>
    <row r="3" spans="1:1" x14ac:dyDescent="0.35">
      <c r="A3" s="100" t="s">
        <v>99</v>
      </c>
    </row>
    <row r="4" spans="1:1" x14ac:dyDescent="0.35">
      <c r="A4" s="100" t="s">
        <v>100</v>
      </c>
    </row>
    <row r="5" spans="1:1" x14ac:dyDescent="0.35">
      <c r="A5" s="100" t="s">
        <v>101</v>
      </c>
    </row>
    <row r="6" spans="1:1" x14ac:dyDescent="0.35">
      <c r="A6" s="97"/>
    </row>
    <row r="7" spans="1:1" x14ac:dyDescent="0.35">
      <c r="A7" s="97"/>
    </row>
    <row r="9" spans="1:1" x14ac:dyDescent="0.35">
      <c r="A9" s="96"/>
    </row>
    <row r="18" spans="1:1" x14ac:dyDescent="0.35">
      <c r="A18" s="96"/>
    </row>
  </sheetData>
  <pageMargins left="0.7" right="0.7" top="0.75" bottom="0.75" header="0.3" footer="0.3"/>
  <pageSetup paperSize="9" orientation="portrait" horizontalDpi="4294967293" verticalDpi="4294967293" r:id="rId1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Ark21"/>
  <dimension ref="A1:L32"/>
  <sheetViews>
    <sheetView workbookViewId="0">
      <selection activeCell="A3" sqref="A3:L30"/>
    </sheetView>
  </sheetViews>
  <sheetFormatPr defaultRowHeight="14.5" x14ac:dyDescent="0.35"/>
  <cols>
    <col min="1" max="1" width="30" customWidth="1"/>
    <col min="2" max="2" width="11.54296875" customWidth="1"/>
    <col min="3" max="3" width="12" customWidth="1"/>
    <col min="4" max="4" width="14.54296875" customWidth="1"/>
    <col min="5" max="5" width="14.1796875" customWidth="1"/>
    <col min="8" max="8" width="22.81640625" customWidth="1"/>
    <col min="9" max="9" width="21.81640625" customWidth="1"/>
    <col min="10" max="10" width="13.81640625" customWidth="1"/>
    <col min="11" max="11" width="12.26953125" customWidth="1"/>
    <col min="12" max="12" width="11.81640625" customWidth="1"/>
  </cols>
  <sheetData>
    <row r="1" spans="1:12" x14ac:dyDescent="0.35">
      <c r="B1" t="s">
        <v>214</v>
      </c>
      <c r="C1" t="s">
        <v>2</v>
      </c>
      <c r="D1" t="s">
        <v>215</v>
      </c>
      <c r="E1" t="s">
        <v>216</v>
      </c>
      <c r="F1" t="s">
        <v>5</v>
      </c>
      <c r="G1" t="s">
        <v>6</v>
      </c>
      <c r="H1" t="s">
        <v>217</v>
      </c>
      <c r="I1" t="s">
        <v>8</v>
      </c>
      <c r="J1" t="s">
        <v>9</v>
      </c>
      <c r="K1" t="s">
        <v>10</v>
      </c>
      <c r="L1" t="s">
        <v>218</v>
      </c>
    </row>
    <row r="2" spans="1:12" x14ac:dyDescent="0.35">
      <c r="B2" t="s">
        <v>219</v>
      </c>
      <c r="C2" t="s">
        <v>219</v>
      </c>
      <c r="D2" t="s">
        <v>219</v>
      </c>
      <c r="E2" t="s">
        <v>219</v>
      </c>
      <c r="F2" t="s">
        <v>219</v>
      </c>
      <c r="G2" t="s">
        <v>219</v>
      </c>
      <c r="H2" t="s">
        <v>219</v>
      </c>
      <c r="I2" t="s">
        <v>219</v>
      </c>
      <c r="J2" t="s">
        <v>219</v>
      </c>
      <c r="K2" t="s">
        <v>219</v>
      </c>
      <c r="L2" t="s">
        <v>219</v>
      </c>
    </row>
    <row r="3" spans="1:12" x14ac:dyDescent="0.35">
      <c r="A3" t="s">
        <v>17</v>
      </c>
      <c r="B3" s="7">
        <v>1722489</v>
      </c>
      <c r="C3" s="7">
        <v>203159</v>
      </c>
      <c r="D3" s="7"/>
      <c r="E3" s="7">
        <v>80164</v>
      </c>
      <c r="F3" s="7">
        <v>19250</v>
      </c>
      <c r="G3" s="7">
        <v>61168</v>
      </c>
      <c r="H3" s="7">
        <v>15887</v>
      </c>
      <c r="I3" s="7">
        <v>133369</v>
      </c>
      <c r="J3" s="7"/>
      <c r="K3" s="7"/>
      <c r="L3" s="7">
        <v>2235487</v>
      </c>
    </row>
    <row r="4" spans="1:12" x14ac:dyDescent="0.35">
      <c r="A4" t="s">
        <v>220</v>
      </c>
      <c r="B4" s="7">
        <v>105156</v>
      </c>
      <c r="C4" s="7">
        <v>237682</v>
      </c>
      <c r="D4" s="7">
        <v>70611</v>
      </c>
      <c r="E4" s="7">
        <v>15722</v>
      </c>
      <c r="F4" s="7"/>
      <c r="G4" s="7"/>
      <c r="H4" s="7"/>
      <c r="I4" s="7">
        <v>5</v>
      </c>
      <c r="J4" s="7">
        <v>1427</v>
      </c>
      <c r="K4" s="7"/>
      <c r="L4" s="7">
        <v>430602</v>
      </c>
    </row>
    <row r="5" spans="1:12" x14ac:dyDescent="0.35">
      <c r="A5" t="s">
        <v>221</v>
      </c>
      <c r="B5" s="7">
        <v>-14534</v>
      </c>
      <c r="C5" s="7">
        <v>-3030</v>
      </c>
      <c r="D5" s="7">
        <v>-31155</v>
      </c>
      <c r="E5" s="7">
        <v>-3373</v>
      </c>
      <c r="F5" s="7"/>
      <c r="G5" s="7"/>
      <c r="H5" s="7"/>
      <c r="I5" s="7">
        <v>-2</v>
      </c>
      <c r="J5" s="7">
        <v>-1863</v>
      </c>
      <c r="K5" s="7"/>
      <c r="L5" s="7">
        <v>-53957</v>
      </c>
    </row>
    <row r="6" spans="1:12" x14ac:dyDescent="0.35">
      <c r="A6" t="s">
        <v>222</v>
      </c>
      <c r="B6" s="7"/>
      <c r="C6" s="7"/>
      <c r="D6" s="7">
        <v>-20808</v>
      </c>
      <c r="E6" s="7"/>
      <c r="F6" s="7"/>
      <c r="G6" s="7"/>
      <c r="H6" s="7"/>
      <c r="I6" s="7"/>
      <c r="J6" s="7"/>
      <c r="K6" s="7"/>
      <c r="L6" s="7">
        <v>-20808</v>
      </c>
    </row>
    <row r="7" spans="1:12" x14ac:dyDescent="0.35">
      <c r="A7" t="s">
        <v>223</v>
      </c>
      <c r="B7" s="7"/>
      <c r="C7" s="7"/>
      <c r="D7" s="7">
        <v>-10660</v>
      </c>
      <c r="E7" s="7"/>
      <c r="F7" s="7"/>
      <c r="G7" s="7"/>
      <c r="H7" s="7"/>
      <c r="I7" s="7"/>
      <c r="J7" s="7"/>
      <c r="K7" s="7"/>
      <c r="L7" s="7">
        <v>-10660</v>
      </c>
    </row>
    <row r="8" spans="1:12" x14ac:dyDescent="0.35">
      <c r="A8" t="s">
        <v>224</v>
      </c>
      <c r="B8" s="7">
        <v>-16328</v>
      </c>
      <c r="C8" s="7">
        <v>-8900</v>
      </c>
      <c r="D8" s="7">
        <v>-5586</v>
      </c>
      <c r="E8" s="7"/>
      <c r="F8" s="7"/>
      <c r="G8" s="7"/>
      <c r="H8" s="7"/>
      <c r="I8" s="7"/>
      <c r="J8" s="7"/>
      <c r="K8" s="7"/>
      <c r="L8" s="7">
        <v>-30814</v>
      </c>
    </row>
    <row r="9" spans="1:12" x14ac:dyDescent="0.35">
      <c r="A9" t="s">
        <v>225</v>
      </c>
      <c r="B9" s="7">
        <v>1796783</v>
      </c>
      <c r="C9" s="7">
        <v>428911</v>
      </c>
      <c r="D9" s="7">
        <v>2402</v>
      </c>
      <c r="E9" s="7">
        <v>92514</v>
      </c>
      <c r="F9" s="7">
        <v>19250</v>
      </c>
      <c r="G9" s="7">
        <v>61168</v>
      </c>
      <c r="H9" s="7">
        <v>15887</v>
      </c>
      <c r="I9" s="7">
        <v>133372</v>
      </c>
      <c r="J9" s="7">
        <v>-436</v>
      </c>
      <c r="K9" s="7"/>
      <c r="L9" s="7">
        <v>2549851</v>
      </c>
    </row>
    <row r="10" spans="1:12" x14ac:dyDescent="0.35">
      <c r="A10" t="s">
        <v>226</v>
      </c>
      <c r="B10" s="7">
        <v>-354</v>
      </c>
      <c r="C10" s="7">
        <v>-334</v>
      </c>
      <c r="D10" s="7">
        <v>852</v>
      </c>
      <c r="E10" s="7"/>
      <c r="F10" s="7"/>
      <c r="G10" s="7"/>
      <c r="H10" s="7"/>
      <c r="I10" s="7"/>
      <c r="J10" s="7"/>
      <c r="K10" s="7"/>
      <c r="L10" s="7">
        <v>164</v>
      </c>
    </row>
    <row r="11" spans="1:12" x14ac:dyDescent="0.35">
      <c r="A11" t="s">
        <v>227</v>
      </c>
      <c r="B11" s="7">
        <v>-41827</v>
      </c>
      <c r="C11" s="7">
        <v>-20</v>
      </c>
      <c r="D11" s="7">
        <v>-1141</v>
      </c>
      <c r="E11" s="7">
        <v>15341</v>
      </c>
      <c r="F11" s="7"/>
      <c r="G11" s="7"/>
      <c r="H11" s="7"/>
      <c r="I11" s="7"/>
      <c r="J11" s="7">
        <v>-18</v>
      </c>
      <c r="K11" s="7"/>
      <c r="L11" s="7">
        <v>-27663</v>
      </c>
    </row>
    <row r="12" spans="1:12" x14ac:dyDescent="0.35">
      <c r="A12" t="s">
        <v>228</v>
      </c>
      <c r="B12" s="7">
        <v>-448161</v>
      </c>
      <c r="C12" s="7">
        <v>-37</v>
      </c>
      <c r="D12" s="7">
        <v>-3650</v>
      </c>
      <c r="E12" s="7">
        <v>-13458</v>
      </c>
      <c r="F12" s="7">
        <v>-19250</v>
      </c>
      <c r="G12" s="7">
        <v>-61168</v>
      </c>
      <c r="H12" s="7">
        <v>-4006</v>
      </c>
      <c r="I12" s="7">
        <v>-11648</v>
      </c>
      <c r="J12" s="7">
        <v>245662</v>
      </c>
      <c r="K12" s="7"/>
      <c r="L12" s="7">
        <v>-315717</v>
      </c>
    </row>
    <row r="13" spans="1:12" x14ac:dyDescent="0.35">
      <c r="A13" t="s">
        <v>66</v>
      </c>
      <c r="B13" s="7">
        <v>-374146</v>
      </c>
      <c r="C13" s="7"/>
      <c r="D13" s="7"/>
      <c r="E13" s="7">
        <v>-7655</v>
      </c>
      <c r="F13" s="7"/>
      <c r="G13" s="7"/>
      <c r="H13" s="7"/>
      <c r="I13" s="7">
        <v>-49</v>
      </c>
      <c r="J13" s="7">
        <v>118529</v>
      </c>
      <c r="K13" s="7">
        <v>60375</v>
      </c>
      <c r="L13" s="7">
        <v>-202945</v>
      </c>
    </row>
    <row r="14" spans="1:12" x14ac:dyDescent="0.35">
      <c r="A14" t="s">
        <v>229</v>
      </c>
      <c r="B14" s="7">
        <v>-6774</v>
      </c>
      <c r="C14" s="7">
        <v>-33</v>
      </c>
      <c r="D14" s="7">
        <v>-5731</v>
      </c>
      <c r="E14" s="7"/>
      <c r="F14" s="7"/>
      <c r="G14" s="7"/>
      <c r="H14" s="7"/>
      <c r="I14" s="7">
        <v>-1129</v>
      </c>
      <c r="J14" s="7"/>
      <c r="K14" s="7">
        <v>11805</v>
      </c>
      <c r="L14" s="7">
        <v>-1862</v>
      </c>
    </row>
    <row r="15" spans="1:12" x14ac:dyDescent="0.35">
      <c r="A15" t="s">
        <v>230</v>
      </c>
      <c r="B15" s="7">
        <v>-1212</v>
      </c>
      <c r="C15" s="7"/>
      <c r="D15" s="7">
        <v>-277</v>
      </c>
      <c r="E15" s="7">
        <v>-71</v>
      </c>
      <c r="F15" s="7"/>
      <c r="G15" s="7"/>
      <c r="H15" s="7"/>
      <c r="I15" s="7">
        <v>-13</v>
      </c>
      <c r="J15" s="7"/>
      <c r="K15" s="7"/>
      <c r="L15" s="7">
        <v>-1574</v>
      </c>
    </row>
    <row r="16" spans="1:12" x14ac:dyDescent="0.35">
      <c r="A16" t="s">
        <v>70</v>
      </c>
      <c r="B16" s="7"/>
      <c r="C16" s="7">
        <v>-419168</v>
      </c>
      <c r="D16" s="7">
        <v>404598</v>
      </c>
      <c r="E16" s="7"/>
      <c r="F16" s="7"/>
      <c r="G16" s="7"/>
      <c r="H16" s="7"/>
      <c r="I16" s="7"/>
      <c r="J16" s="7"/>
      <c r="K16" s="7"/>
      <c r="L16" s="7">
        <v>-14570</v>
      </c>
    </row>
    <row r="17" spans="1:12" x14ac:dyDescent="0.35">
      <c r="A17" t="s">
        <v>231</v>
      </c>
      <c r="B17" s="7">
        <v>-134750</v>
      </c>
      <c r="C17" s="7"/>
      <c r="D17" s="7"/>
      <c r="E17" s="7"/>
      <c r="F17" s="7"/>
      <c r="G17" s="7"/>
      <c r="H17" s="7"/>
      <c r="I17" s="7"/>
      <c r="J17" s="7"/>
      <c r="K17" s="7"/>
      <c r="L17" s="7">
        <v>-134750</v>
      </c>
    </row>
    <row r="18" spans="1:12" x14ac:dyDescent="0.35">
      <c r="A18" t="s">
        <v>232</v>
      </c>
      <c r="B18" s="7">
        <v>-1205</v>
      </c>
      <c r="C18" s="7">
        <v>663</v>
      </c>
      <c r="D18" s="7"/>
      <c r="E18" s="7"/>
      <c r="F18" s="7"/>
      <c r="G18" s="7"/>
      <c r="H18" s="7"/>
      <c r="I18" s="7"/>
      <c r="J18" s="7"/>
      <c r="K18" s="7"/>
      <c r="L18" s="7">
        <v>-542</v>
      </c>
    </row>
    <row r="19" spans="1:12" x14ac:dyDescent="0.35">
      <c r="A19" t="s">
        <v>233</v>
      </c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</row>
    <row r="20" spans="1:12" x14ac:dyDescent="0.35">
      <c r="A20" t="s">
        <v>234</v>
      </c>
      <c r="B20" s="7">
        <v>-75564</v>
      </c>
      <c r="C20" s="7">
        <v>-4823</v>
      </c>
      <c r="D20" s="7">
        <v>-28236</v>
      </c>
      <c r="E20" s="7">
        <v>-11200</v>
      </c>
      <c r="F20" s="7"/>
      <c r="G20" s="7"/>
      <c r="H20" s="7"/>
      <c r="I20" s="7"/>
      <c r="J20" s="7">
        <v>-41182</v>
      </c>
      <c r="K20" s="7">
        <v>-9656</v>
      </c>
      <c r="L20" s="7">
        <v>-170661</v>
      </c>
    </row>
    <row r="21" spans="1:12" x14ac:dyDescent="0.35">
      <c r="A21" t="s">
        <v>235</v>
      </c>
      <c r="B21" s="7"/>
      <c r="C21" s="7">
        <v>-1920</v>
      </c>
      <c r="D21" s="7">
        <v>-29</v>
      </c>
      <c r="E21" s="7">
        <v>-1577</v>
      </c>
      <c r="F21" s="7"/>
      <c r="G21" s="7"/>
      <c r="H21" s="7"/>
      <c r="I21" s="7"/>
      <c r="J21" s="7">
        <v>-22240</v>
      </c>
      <c r="K21" s="7">
        <v>-809</v>
      </c>
      <c r="L21" s="7">
        <v>-26575</v>
      </c>
    </row>
    <row r="22" spans="1:12" x14ac:dyDescent="0.35">
      <c r="A22" t="s">
        <v>131</v>
      </c>
      <c r="B22" s="7">
        <v>712789</v>
      </c>
      <c r="C22" s="7">
        <v>3239</v>
      </c>
      <c r="D22" s="7">
        <v>368788</v>
      </c>
      <c r="E22" s="7">
        <v>73894</v>
      </c>
      <c r="F22" s="7"/>
      <c r="G22" s="7"/>
      <c r="H22" s="7">
        <v>11881</v>
      </c>
      <c r="I22" s="7">
        <v>120534</v>
      </c>
      <c r="J22" s="7">
        <v>300314</v>
      </c>
      <c r="K22" s="7">
        <v>61715</v>
      </c>
      <c r="L22" s="7">
        <v>1653155</v>
      </c>
    </row>
    <row r="23" spans="1:12" x14ac:dyDescent="0.35">
      <c r="A23" t="s">
        <v>80</v>
      </c>
      <c r="B23" s="7">
        <v>584149</v>
      </c>
      <c r="C23" s="7">
        <v>1686</v>
      </c>
      <c r="D23" s="7">
        <v>59444</v>
      </c>
      <c r="E23" s="7">
        <v>34696</v>
      </c>
      <c r="F23" s="7"/>
      <c r="G23" s="7"/>
      <c r="H23" s="7">
        <v>150</v>
      </c>
      <c r="I23" s="7"/>
      <c r="J23" s="7">
        <v>203435</v>
      </c>
      <c r="K23" s="7">
        <v>42461</v>
      </c>
      <c r="L23" s="7">
        <v>926022</v>
      </c>
    </row>
    <row r="24" spans="1:12" x14ac:dyDescent="0.35">
      <c r="A24" t="s">
        <v>82</v>
      </c>
      <c r="B24" s="7"/>
      <c r="C24" s="7"/>
      <c r="D24" s="7">
        <v>185146</v>
      </c>
      <c r="E24" s="7">
        <v>6882</v>
      </c>
      <c r="F24" s="7"/>
      <c r="G24" s="7"/>
      <c r="H24" s="7"/>
      <c r="I24" s="7">
        <v>1735</v>
      </c>
      <c r="J24" s="7">
        <v>5533</v>
      </c>
      <c r="K24" s="7"/>
      <c r="L24" s="7">
        <v>199296</v>
      </c>
    </row>
    <row r="25" spans="1:12" x14ac:dyDescent="0.35">
      <c r="A25" t="s">
        <v>86</v>
      </c>
      <c r="B25" s="7">
        <v>50448</v>
      </c>
      <c r="C25" s="7"/>
      <c r="D25" s="7">
        <v>22600</v>
      </c>
      <c r="E25" s="7">
        <v>19317</v>
      </c>
      <c r="F25" s="7"/>
      <c r="G25" s="7"/>
      <c r="H25" s="7">
        <v>9387</v>
      </c>
      <c r="I25" s="7">
        <v>118793</v>
      </c>
      <c r="J25" s="7">
        <v>45004</v>
      </c>
      <c r="K25" s="7">
        <v>16101</v>
      </c>
      <c r="L25" s="7">
        <v>281649</v>
      </c>
    </row>
    <row r="26" spans="1:12" x14ac:dyDescent="0.35">
      <c r="A26" t="s">
        <v>88</v>
      </c>
      <c r="B26" s="7">
        <v>16653</v>
      </c>
      <c r="C26" s="7"/>
      <c r="D26" s="7">
        <v>13382</v>
      </c>
      <c r="E26" s="7">
        <v>5799</v>
      </c>
      <c r="F26" s="7"/>
      <c r="G26" s="7"/>
      <c r="H26" s="7">
        <v>1864</v>
      </c>
      <c r="I26" s="7">
        <v>3</v>
      </c>
      <c r="J26" s="7">
        <v>18901</v>
      </c>
      <c r="K26" s="7">
        <v>1334</v>
      </c>
      <c r="L26" s="7">
        <v>57936</v>
      </c>
    </row>
    <row r="27" spans="1:12" x14ac:dyDescent="0.35">
      <c r="A27" t="s">
        <v>90</v>
      </c>
      <c r="B27" s="7">
        <v>11196</v>
      </c>
      <c r="C27" s="7"/>
      <c r="D27" s="7">
        <v>14127</v>
      </c>
      <c r="E27" s="7">
        <v>42</v>
      </c>
      <c r="F27" s="7"/>
      <c r="G27" s="7"/>
      <c r="H27" s="7">
        <v>456</v>
      </c>
      <c r="I27" s="7"/>
      <c r="J27" s="7">
        <v>8396</v>
      </c>
      <c r="K27" s="7">
        <v>22</v>
      </c>
      <c r="L27" s="7">
        <v>34238</v>
      </c>
    </row>
    <row r="28" spans="1:12" x14ac:dyDescent="0.35">
      <c r="A28" t="s">
        <v>92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</row>
    <row r="29" spans="1:12" x14ac:dyDescent="0.35">
      <c r="A29" t="s">
        <v>94</v>
      </c>
      <c r="B29" s="7">
        <v>20527</v>
      </c>
      <c r="C29" s="7"/>
      <c r="D29" s="7"/>
      <c r="E29" s="7"/>
      <c r="F29" s="7"/>
      <c r="G29" s="7"/>
      <c r="H29" s="7">
        <v>25</v>
      </c>
      <c r="I29" s="7">
        <v>3</v>
      </c>
      <c r="J29" s="7">
        <v>19044</v>
      </c>
      <c r="K29" s="7">
        <v>1798</v>
      </c>
      <c r="L29" s="7">
        <v>41397</v>
      </c>
    </row>
    <row r="30" spans="1:12" x14ac:dyDescent="0.35">
      <c r="A30" t="s">
        <v>236</v>
      </c>
      <c r="B30" s="7">
        <v>29817</v>
      </c>
      <c r="C30" s="7">
        <v>1553</v>
      </c>
      <c r="D30" s="7">
        <v>74090</v>
      </c>
      <c r="E30" s="7">
        <v>7158</v>
      </c>
      <c r="F30" s="7"/>
      <c r="G30" s="7"/>
      <c r="H30" s="7"/>
      <c r="I30" s="7"/>
      <c r="J30" s="7"/>
      <c r="K30" s="7"/>
      <c r="L30" s="7">
        <v>112618</v>
      </c>
    </row>
    <row r="32" spans="1:12" x14ac:dyDescent="0.35">
      <c r="B32" s="7">
        <f>SUM(B9,B10:B21,B22*-1)</f>
        <v>1</v>
      </c>
      <c r="C32" s="7">
        <f t="shared" ref="C32:L32" si="0">SUM(C9,C10:C21,C22*-1)</f>
        <v>0</v>
      </c>
      <c r="D32" s="7">
        <f t="shared" si="0"/>
        <v>0</v>
      </c>
      <c r="E32" s="7">
        <f t="shared" si="0"/>
        <v>0</v>
      </c>
      <c r="F32" s="7">
        <f t="shared" si="0"/>
        <v>0</v>
      </c>
      <c r="G32" s="7">
        <f t="shared" si="0"/>
        <v>0</v>
      </c>
      <c r="H32" s="7">
        <f t="shared" si="0"/>
        <v>0</v>
      </c>
      <c r="I32" s="7">
        <f t="shared" si="0"/>
        <v>-1</v>
      </c>
      <c r="J32" s="7">
        <f t="shared" si="0"/>
        <v>1</v>
      </c>
      <c r="K32" s="7">
        <f t="shared" si="0"/>
        <v>0</v>
      </c>
      <c r="L32" s="7">
        <f t="shared" si="0"/>
        <v>1</v>
      </c>
    </row>
  </sheetData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Ark22"/>
  <dimension ref="A1:L32"/>
  <sheetViews>
    <sheetView workbookViewId="0">
      <selection activeCell="B3" sqref="B3:N30"/>
    </sheetView>
  </sheetViews>
  <sheetFormatPr defaultRowHeight="14.5" x14ac:dyDescent="0.35"/>
  <cols>
    <col min="1" max="1" width="30" customWidth="1"/>
    <col min="2" max="2" width="11.54296875" customWidth="1"/>
    <col min="3" max="3" width="12" customWidth="1"/>
    <col min="4" max="4" width="14.54296875" customWidth="1"/>
    <col min="5" max="5" width="14.1796875" customWidth="1"/>
    <col min="8" max="8" width="22.81640625" customWidth="1"/>
    <col min="9" max="9" width="21.81640625" customWidth="1"/>
    <col min="10" max="10" width="13.81640625" customWidth="1"/>
    <col min="11" max="11" width="12.26953125" customWidth="1"/>
    <col min="12" max="12" width="11.81640625" customWidth="1"/>
  </cols>
  <sheetData>
    <row r="1" spans="1:12" x14ac:dyDescent="0.35">
      <c r="B1" t="s">
        <v>214</v>
      </c>
      <c r="C1" t="s">
        <v>2</v>
      </c>
      <c r="D1" t="s">
        <v>215</v>
      </c>
      <c r="E1" t="s">
        <v>216</v>
      </c>
      <c r="F1" t="s">
        <v>5</v>
      </c>
      <c r="G1" t="s">
        <v>6</v>
      </c>
      <c r="H1" t="s">
        <v>217</v>
      </c>
      <c r="I1" t="s">
        <v>8</v>
      </c>
      <c r="J1" t="s">
        <v>9</v>
      </c>
      <c r="K1" t="s">
        <v>10</v>
      </c>
      <c r="L1" t="s">
        <v>218</v>
      </c>
    </row>
    <row r="2" spans="1:12" x14ac:dyDescent="0.35">
      <c r="B2" t="s">
        <v>219</v>
      </c>
      <c r="C2" t="s">
        <v>219</v>
      </c>
      <c r="D2" t="s">
        <v>219</v>
      </c>
      <c r="E2" t="s">
        <v>219</v>
      </c>
      <c r="F2" t="s">
        <v>219</v>
      </c>
      <c r="G2" t="s">
        <v>219</v>
      </c>
      <c r="H2" t="s">
        <v>219</v>
      </c>
      <c r="I2" t="s">
        <v>219</v>
      </c>
      <c r="J2" t="s">
        <v>219</v>
      </c>
      <c r="K2" t="s">
        <v>219</v>
      </c>
      <c r="L2" t="s">
        <v>219</v>
      </c>
    </row>
    <row r="3" spans="1:12" x14ac:dyDescent="0.35">
      <c r="A3" t="s">
        <v>17</v>
      </c>
      <c r="B3" s="7">
        <v>1882737</v>
      </c>
      <c r="C3" s="7">
        <v>214760</v>
      </c>
      <c r="D3" s="7"/>
      <c r="E3" s="7">
        <v>112651</v>
      </c>
      <c r="F3" s="7">
        <v>44501</v>
      </c>
      <c r="G3" s="7">
        <v>95827</v>
      </c>
      <c r="H3" s="7">
        <v>49576</v>
      </c>
      <c r="I3" s="7">
        <v>113755</v>
      </c>
      <c r="J3" s="7"/>
      <c r="K3" s="7"/>
      <c r="L3" s="7">
        <v>2513806</v>
      </c>
    </row>
    <row r="4" spans="1:12" x14ac:dyDescent="0.35">
      <c r="A4" t="s">
        <v>220</v>
      </c>
      <c r="B4" s="7">
        <v>115644</v>
      </c>
      <c r="C4" s="7">
        <v>335483</v>
      </c>
      <c r="D4" s="7">
        <v>73962</v>
      </c>
      <c r="E4" s="7">
        <v>51307</v>
      </c>
      <c r="F4" s="7"/>
      <c r="G4" s="7"/>
      <c r="H4" s="7"/>
      <c r="I4" s="7">
        <v>4</v>
      </c>
      <c r="J4" s="7">
        <v>1544</v>
      </c>
      <c r="K4" s="7"/>
      <c r="L4" s="7">
        <v>577944</v>
      </c>
    </row>
    <row r="5" spans="1:12" x14ac:dyDescent="0.35">
      <c r="A5" t="s">
        <v>221</v>
      </c>
      <c r="B5" s="7">
        <v>-9602</v>
      </c>
      <c r="C5" s="7">
        <v>-2866</v>
      </c>
      <c r="D5" s="7">
        <v>-42057</v>
      </c>
      <c r="E5" s="7">
        <v>-2716</v>
      </c>
      <c r="F5" s="7"/>
      <c r="G5" s="7"/>
      <c r="H5" s="7"/>
      <c r="I5" s="7"/>
      <c r="J5" s="7">
        <v>-1706</v>
      </c>
      <c r="K5" s="7"/>
      <c r="L5" s="7">
        <v>-58946</v>
      </c>
    </row>
    <row r="6" spans="1:12" x14ac:dyDescent="0.35">
      <c r="A6" t="s">
        <v>222</v>
      </c>
      <c r="B6" s="7"/>
      <c r="C6" s="7"/>
      <c r="D6" s="7">
        <v>-17795</v>
      </c>
      <c r="E6" s="7"/>
      <c r="F6" s="7"/>
      <c r="G6" s="7"/>
      <c r="H6" s="7"/>
      <c r="I6" s="7"/>
      <c r="J6" s="7"/>
      <c r="K6" s="7"/>
      <c r="L6" s="7">
        <v>-17795</v>
      </c>
    </row>
    <row r="7" spans="1:12" x14ac:dyDescent="0.35">
      <c r="A7" t="s">
        <v>223</v>
      </c>
      <c r="B7" s="7"/>
      <c r="C7" s="7"/>
      <c r="D7" s="7">
        <v>-14205</v>
      </c>
      <c r="E7" s="7"/>
      <c r="F7" s="7"/>
      <c r="G7" s="7"/>
      <c r="H7" s="7"/>
      <c r="I7" s="7"/>
      <c r="J7" s="7"/>
      <c r="K7" s="7"/>
      <c r="L7" s="7">
        <v>-14205</v>
      </c>
    </row>
    <row r="8" spans="1:12" x14ac:dyDescent="0.35">
      <c r="A8" t="s">
        <v>224</v>
      </c>
      <c r="B8" s="7">
        <v>14733</v>
      </c>
      <c r="C8" s="7">
        <v>-6238</v>
      </c>
      <c r="D8" s="7">
        <v>-2865</v>
      </c>
      <c r="E8" s="7"/>
      <c r="F8" s="7"/>
      <c r="G8" s="7"/>
      <c r="H8" s="7"/>
      <c r="I8" s="7"/>
      <c r="J8" s="7"/>
      <c r="K8" s="7"/>
      <c r="L8" s="7">
        <v>5630</v>
      </c>
    </row>
    <row r="9" spans="1:12" x14ac:dyDescent="0.35">
      <c r="A9" t="s">
        <v>225</v>
      </c>
      <c r="B9" s="7">
        <v>2003512</v>
      </c>
      <c r="C9" s="7">
        <v>541139</v>
      </c>
      <c r="D9" s="7">
        <v>-2959</v>
      </c>
      <c r="E9" s="7">
        <v>161242</v>
      </c>
      <c r="F9" s="7">
        <v>44501</v>
      </c>
      <c r="G9" s="7">
        <v>95827</v>
      </c>
      <c r="H9" s="7">
        <v>49576</v>
      </c>
      <c r="I9" s="7">
        <v>113759</v>
      </c>
      <c r="J9" s="7">
        <v>-162</v>
      </c>
      <c r="K9" s="7"/>
      <c r="L9" s="7">
        <v>3006435</v>
      </c>
    </row>
    <row r="10" spans="1:12" x14ac:dyDescent="0.35">
      <c r="A10" t="s">
        <v>226</v>
      </c>
      <c r="B10" s="7">
        <v>-971</v>
      </c>
      <c r="C10" s="7">
        <v>-908</v>
      </c>
      <c r="D10" s="7">
        <v>2303</v>
      </c>
      <c r="E10" s="7"/>
      <c r="F10" s="7"/>
      <c r="G10" s="7"/>
      <c r="H10" s="7"/>
      <c r="I10" s="7"/>
      <c r="J10" s="7"/>
      <c r="K10" s="7"/>
      <c r="L10" s="7">
        <v>423</v>
      </c>
    </row>
    <row r="11" spans="1:12" x14ac:dyDescent="0.35">
      <c r="A11" t="s">
        <v>227</v>
      </c>
      <c r="B11" s="7">
        <v>-10367</v>
      </c>
      <c r="C11" s="7">
        <v>-52</v>
      </c>
      <c r="D11" s="7">
        <v>1338</v>
      </c>
      <c r="E11" s="7">
        <v>689</v>
      </c>
      <c r="F11" s="7"/>
      <c r="G11" s="7"/>
      <c r="H11" s="7"/>
      <c r="I11" s="7">
        <v>16</v>
      </c>
      <c r="J11" s="7">
        <v>-17</v>
      </c>
      <c r="K11" s="7"/>
      <c r="L11" s="7">
        <v>-8391</v>
      </c>
    </row>
    <row r="12" spans="1:12" x14ac:dyDescent="0.35">
      <c r="A12" t="s">
        <v>228</v>
      </c>
      <c r="B12" s="7">
        <v>-555532</v>
      </c>
      <c r="C12" s="7">
        <v>-125</v>
      </c>
      <c r="D12" s="7">
        <v>-2316</v>
      </c>
      <c r="E12" s="7">
        <v>-16450</v>
      </c>
      <c r="F12" s="7">
        <v>-44501</v>
      </c>
      <c r="G12" s="7">
        <v>-95827</v>
      </c>
      <c r="H12" s="7">
        <v>-19939</v>
      </c>
      <c r="I12" s="7">
        <v>-21922</v>
      </c>
      <c r="J12" s="7">
        <v>358228</v>
      </c>
      <c r="K12" s="7"/>
      <c r="L12" s="7">
        <v>-398383</v>
      </c>
    </row>
    <row r="13" spans="1:12" x14ac:dyDescent="0.35">
      <c r="A13" t="s">
        <v>66</v>
      </c>
      <c r="B13" s="7">
        <v>-444196</v>
      </c>
      <c r="C13" s="7"/>
      <c r="D13" s="7"/>
      <c r="E13" s="7">
        <v>-17385</v>
      </c>
      <c r="F13" s="7"/>
      <c r="G13" s="7"/>
      <c r="H13" s="7"/>
      <c r="I13" s="7">
        <v>-80</v>
      </c>
      <c r="J13" s="7">
        <v>147508</v>
      </c>
      <c r="K13" s="7">
        <v>82839</v>
      </c>
      <c r="L13" s="7">
        <v>-231314</v>
      </c>
    </row>
    <row r="14" spans="1:12" x14ac:dyDescent="0.35">
      <c r="A14" t="s">
        <v>229</v>
      </c>
      <c r="B14" s="7">
        <v>-8900</v>
      </c>
      <c r="C14" s="7">
        <v>-67</v>
      </c>
      <c r="D14" s="7">
        <v>-4625</v>
      </c>
      <c r="E14" s="7"/>
      <c r="F14" s="7"/>
      <c r="G14" s="7"/>
      <c r="H14" s="7"/>
      <c r="I14" s="7">
        <v>-1469</v>
      </c>
      <c r="J14" s="7"/>
      <c r="K14" s="7">
        <v>13083</v>
      </c>
      <c r="L14" s="7">
        <v>-1978</v>
      </c>
    </row>
    <row r="15" spans="1:12" x14ac:dyDescent="0.35">
      <c r="A15" t="s">
        <v>230</v>
      </c>
      <c r="B15" s="7">
        <v>-4742</v>
      </c>
      <c r="C15" s="7"/>
      <c r="D15" s="7">
        <v>-284</v>
      </c>
      <c r="E15" s="7">
        <v>1323</v>
      </c>
      <c r="F15" s="7"/>
      <c r="G15" s="7"/>
      <c r="H15" s="7"/>
      <c r="I15" s="7">
        <v>-11</v>
      </c>
      <c r="J15" s="7"/>
      <c r="K15" s="7"/>
      <c r="L15" s="7">
        <v>-3714</v>
      </c>
    </row>
    <row r="16" spans="1:12" x14ac:dyDescent="0.35">
      <c r="A16" t="s">
        <v>70</v>
      </c>
      <c r="B16" s="7"/>
      <c r="C16" s="7">
        <v>-533291</v>
      </c>
      <c r="D16" s="7">
        <v>517571</v>
      </c>
      <c r="E16" s="7"/>
      <c r="F16" s="7"/>
      <c r="G16" s="7"/>
      <c r="H16" s="7"/>
      <c r="I16" s="7"/>
      <c r="J16" s="7"/>
      <c r="K16" s="7"/>
      <c r="L16" s="7">
        <v>-15720</v>
      </c>
    </row>
    <row r="17" spans="1:12" x14ac:dyDescent="0.35">
      <c r="A17" t="s">
        <v>231</v>
      </c>
      <c r="B17" s="7">
        <v>-164956</v>
      </c>
      <c r="C17" s="7"/>
      <c r="D17" s="7"/>
      <c r="E17" s="7"/>
      <c r="F17" s="7"/>
      <c r="G17" s="7"/>
      <c r="H17" s="7"/>
      <c r="I17" s="7"/>
      <c r="J17" s="7"/>
      <c r="K17" s="7"/>
      <c r="L17" s="7">
        <v>-164956</v>
      </c>
    </row>
    <row r="18" spans="1:12" x14ac:dyDescent="0.35">
      <c r="A18" t="s">
        <v>232</v>
      </c>
      <c r="B18" s="7">
        <v>-3642</v>
      </c>
      <c r="C18" s="7">
        <v>2003</v>
      </c>
      <c r="D18" s="7"/>
      <c r="E18" s="7"/>
      <c r="F18" s="7"/>
      <c r="G18" s="7"/>
      <c r="H18" s="7"/>
      <c r="I18" s="7"/>
      <c r="J18" s="7"/>
      <c r="K18" s="7"/>
      <c r="L18" s="7">
        <v>-1639</v>
      </c>
    </row>
    <row r="19" spans="1:12" x14ac:dyDescent="0.35">
      <c r="A19" t="s">
        <v>233</v>
      </c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</row>
    <row r="20" spans="1:12" x14ac:dyDescent="0.35">
      <c r="A20" t="s">
        <v>234</v>
      </c>
      <c r="B20" s="7">
        <v>-56026</v>
      </c>
      <c r="C20" s="7">
        <v>-4404</v>
      </c>
      <c r="D20" s="7">
        <v>-30773</v>
      </c>
      <c r="E20" s="7">
        <v>-21725</v>
      </c>
      <c r="F20" s="7"/>
      <c r="G20" s="7"/>
      <c r="H20" s="7"/>
      <c r="I20" s="7"/>
      <c r="J20" s="7">
        <v>-56640</v>
      </c>
      <c r="K20" s="7">
        <v>-11474</v>
      </c>
      <c r="L20" s="7">
        <v>-181043</v>
      </c>
    </row>
    <row r="21" spans="1:12" x14ac:dyDescent="0.35">
      <c r="A21" t="s">
        <v>235</v>
      </c>
      <c r="B21" s="7"/>
      <c r="C21" s="7">
        <v>-872</v>
      </c>
      <c r="D21" s="7">
        <v>-4</v>
      </c>
      <c r="E21" s="7">
        <v>-1839</v>
      </c>
      <c r="F21" s="7"/>
      <c r="G21" s="7"/>
      <c r="H21" s="7"/>
      <c r="I21" s="7"/>
      <c r="J21" s="7">
        <v>-25850</v>
      </c>
      <c r="K21" s="7">
        <v>-1153</v>
      </c>
      <c r="L21" s="7">
        <v>-29717</v>
      </c>
    </row>
    <row r="22" spans="1:12" x14ac:dyDescent="0.35">
      <c r="A22" t="s">
        <v>131</v>
      </c>
      <c r="B22" s="7">
        <v>754180</v>
      </c>
      <c r="C22" s="7">
        <v>3423</v>
      </c>
      <c r="D22" s="7">
        <v>480251</v>
      </c>
      <c r="E22" s="7">
        <v>105855</v>
      </c>
      <c r="F22" s="7"/>
      <c r="G22" s="7"/>
      <c r="H22" s="7">
        <v>29637</v>
      </c>
      <c r="I22" s="7">
        <v>90294</v>
      </c>
      <c r="J22" s="7">
        <v>423067</v>
      </c>
      <c r="K22" s="7">
        <v>83295</v>
      </c>
      <c r="L22" s="7">
        <v>1970002</v>
      </c>
    </row>
    <row r="23" spans="1:12" x14ac:dyDescent="0.35">
      <c r="A23" t="s">
        <v>80</v>
      </c>
      <c r="B23" s="7">
        <v>599431</v>
      </c>
      <c r="C23" s="7">
        <v>2066</v>
      </c>
      <c r="D23" s="7">
        <v>44971</v>
      </c>
      <c r="E23" s="7">
        <v>38346</v>
      </c>
      <c r="F23" s="7"/>
      <c r="G23" s="7"/>
      <c r="H23" s="7">
        <v>358</v>
      </c>
      <c r="I23" s="7"/>
      <c r="J23" s="7">
        <v>276470</v>
      </c>
      <c r="K23" s="7">
        <v>55733</v>
      </c>
      <c r="L23" s="7">
        <v>1017374</v>
      </c>
    </row>
    <row r="24" spans="1:12" x14ac:dyDescent="0.35">
      <c r="A24" t="s">
        <v>82</v>
      </c>
      <c r="B24" s="7">
        <v>3</v>
      </c>
      <c r="C24" s="7"/>
      <c r="D24" s="7">
        <v>264485</v>
      </c>
      <c r="E24" s="7">
        <v>16607</v>
      </c>
      <c r="F24" s="7"/>
      <c r="G24" s="7"/>
      <c r="H24" s="7"/>
      <c r="I24" s="7">
        <v>2181</v>
      </c>
      <c r="J24" s="7">
        <v>8491</v>
      </c>
      <c r="K24" s="7"/>
      <c r="L24" s="7">
        <v>291766</v>
      </c>
    </row>
    <row r="25" spans="1:12" x14ac:dyDescent="0.35">
      <c r="A25" t="s">
        <v>86</v>
      </c>
      <c r="B25" s="7">
        <v>49185</v>
      </c>
      <c r="C25" s="7"/>
      <c r="D25" s="7">
        <v>35949</v>
      </c>
      <c r="E25" s="7">
        <v>30432</v>
      </c>
      <c r="F25" s="7"/>
      <c r="G25" s="7"/>
      <c r="H25" s="7">
        <v>23548</v>
      </c>
      <c r="I25" s="7">
        <v>88106</v>
      </c>
      <c r="J25" s="7">
        <v>66061</v>
      </c>
      <c r="K25" s="7">
        <v>22414</v>
      </c>
      <c r="L25" s="7">
        <v>315695</v>
      </c>
    </row>
    <row r="26" spans="1:12" x14ac:dyDescent="0.35">
      <c r="A26" t="s">
        <v>88</v>
      </c>
      <c r="B26" s="7">
        <v>20185</v>
      </c>
      <c r="C26" s="7"/>
      <c r="D26" s="7">
        <v>15812</v>
      </c>
      <c r="E26" s="7">
        <v>10407</v>
      </c>
      <c r="F26" s="7"/>
      <c r="G26" s="7"/>
      <c r="H26" s="7">
        <v>4579</v>
      </c>
      <c r="I26" s="7">
        <v>3</v>
      </c>
      <c r="J26" s="7">
        <v>28690</v>
      </c>
      <c r="K26" s="7">
        <v>2163</v>
      </c>
      <c r="L26" s="7">
        <v>81839</v>
      </c>
    </row>
    <row r="27" spans="1:12" x14ac:dyDescent="0.35">
      <c r="A27" t="s">
        <v>90</v>
      </c>
      <c r="B27" s="7">
        <v>13637</v>
      </c>
      <c r="C27" s="7"/>
      <c r="D27" s="7">
        <v>17717</v>
      </c>
      <c r="E27" s="7">
        <v>79</v>
      </c>
      <c r="F27" s="7"/>
      <c r="G27" s="7"/>
      <c r="H27" s="7">
        <v>1091</v>
      </c>
      <c r="I27" s="7"/>
      <c r="J27" s="7">
        <v>8941</v>
      </c>
      <c r="K27" s="7">
        <v>25</v>
      </c>
      <c r="L27" s="7">
        <v>41491</v>
      </c>
    </row>
    <row r="28" spans="1:12" x14ac:dyDescent="0.35">
      <c r="A28" t="s">
        <v>92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</row>
    <row r="29" spans="1:12" x14ac:dyDescent="0.35">
      <c r="A29" t="s">
        <v>94</v>
      </c>
      <c r="B29" s="7">
        <v>23532</v>
      </c>
      <c r="C29" s="7"/>
      <c r="D29" s="7"/>
      <c r="E29" s="7"/>
      <c r="F29" s="7"/>
      <c r="G29" s="7"/>
      <c r="H29" s="7">
        <v>61</v>
      </c>
      <c r="I29" s="7">
        <v>4</v>
      </c>
      <c r="J29" s="7">
        <v>34414</v>
      </c>
      <c r="K29" s="7">
        <v>2960</v>
      </c>
      <c r="L29" s="7">
        <v>60970</v>
      </c>
    </row>
    <row r="30" spans="1:12" x14ac:dyDescent="0.35">
      <c r="A30" t="s">
        <v>236</v>
      </c>
      <c r="B30" s="7">
        <v>48207</v>
      </c>
      <c r="C30" s="7">
        <v>1357</v>
      </c>
      <c r="D30" s="7">
        <v>101318</v>
      </c>
      <c r="E30" s="7">
        <v>9983</v>
      </c>
      <c r="F30" s="7"/>
      <c r="G30" s="7"/>
      <c r="H30" s="7"/>
      <c r="I30" s="7"/>
      <c r="J30" s="7"/>
      <c r="K30" s="7"/>
      <c r="L30" s="7">
        <v>160866</v>
      </c>
    </row>
    <row r="32" spans="1:12" x14ac:dyDescent="0.35">
      <c r="B32" s="7">
        <f>SUM(B9,B10:B21,B22*-1)</f>
        <v>0</v>
      </c>
      <c r="C32" s="7">
        <f t="shared" ref="C32:L32" si="0">SUM(C9,C10:C21,C22*-1)</f>
        <v>0</v>
      </c>
      <c r="D32" s="7">
        <f t="shared" si="0"/>
        <v>0</v>
      </c>
      <c r="E32" s="7">
        <f t="shared" si="0"/>
        <v>0</v>
      </c>
      <c r="F32" s="7">
        <f t="shared" si="0"/>
        <v>0</v>
      </c>
      <c r="G32" s="7">
        <f t="shared" si="0"/>
        <v>0</v>
      </c>
      <c r="H32" s="7">
        <f t="shared" si="0"/>
        <v>0</v>
      </c>
      <c r="I32" s="7">
        <f t="shared" si="0"/>
        <v>-1</v>
      </c>
      <c r="J32" s="7">
        <f t="shared" si="0"/>
        <v>0</v>
      </c>
      <c r="K32" s="7">
        <f t="shared" si="0"/>
        <v>0</v>
      </c>
      <c r="L32" s="7">
        <f t="shared" si="0"/>
        <v>1</v>
      </c>
    </row>
  </sheetData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Ark23"/>
  <dimension ref="A1:L32"/>
  <sheetViews>
    <sheetView workbookViewId="0">
      <selection activeCell="P37" sqref="P37"/>
    </sheetView>
  </sheetViews>
  <sheetFormatPr defaultRowHeight="14.5" x14ac:dyDescent="0.35"/>
  <cols>
    <col min="1" max="1" width="30" customWidth="1"/>
    <col min="2" max="2" width="11.54296875" customWidth="1"/>
    <col min="3" max="3" width="12" customWidth="1"/>
    <col min="4" max="4" width="14.54296875" customWidth="1"/>
    <col min="5" max="5" width="14.1796875" customWidth="1"/>
    <col min="8" max="8" width="22.81640625" customWidth="1"/>
    <col min="9" max="9" width="21.81640625" customWidth="1"/>
    <col min="10" max="10" width="13.81640625" customWidth="1"/>
    <col min="11" max="11" width="12.26953125" customWidth="1"/>
    <col min="12" max="12" width="11.81640625" customWidth="1"/>
  </cols>
  <sheetData>
    <row r="1" spans="1:12" x14ac:dyDescent="0.35">
      <c r="B1" t="s">
        <v>214</v>
      </c>
      <c r="C1" t="s">
        <v>2</v>
      </c>
      <c r="D1" t="s">
        <v>215</v>
      </c>
      <c r="E1" t="s">
        <v>216</v>
      </c>
      <c r="F1" t="s">
        <v>5</v>
      </c>
      <c r="G1" t="s">
        <v>6</v>
      </c>
      <c r="H1" t="s">
        <v>217</v>
      </c>
      <c r="I1" t="s">
        <v>8</v>
      </c>
      <c r="J1" t="s">
        <v>9</v>
      </c>
      <c r="K1" t="s">
        <v>10</v>
      </c>
      <c r="L1" t="s">
        <v>218</v>
      </c>
    </row>
    <row r="2" spans="1:12" x14ac:dyDescent="0.35">
      <c r="B2" t="s">
        <v>219</v>
      </c>
      <c r="C2" t="s">
        <v>219</v>
      </c>
      <c r="D2" t="s">
        <v>219</v>
      </c>
      <c r="E2" t="s">
        <v>219</v>
      </c>
      <c r="F2" t="s">
        <v>219</v>
      </c>
      <c r="G2" t="s">
        <v>219</v>
      </c>
      <c r="H2" t="s">
        <v>219</v>
      </c>
      <c r="I2" t="s">
        <v>219</v>
      </c>
      <c r="J2" t="s">
        <v>219</v>
      </c>
      <c r="K2" t="s">
        <v>219</v>
      </c>
      <c r="L2" t="s">
        <v>219</v>
      </c>
    </row>
    <row r="3" spans="1:12" x14ac:dyDescent="0.35">
      <c r="A3" t="s">
        <v>17</v>
      </c>
      <c r="B3" s="7">
        <v>1859684</v>
      </c>
      <c r="C3" s="7">
        <v>189351</v>
      </c>
      <c r="D3" s="7"/>
      <c r="E3" s="7">
        <v>135314</v>
      </c>
      <c r="F3" s="7">
        <v>76865</v>
      </c>
      <c r="G3" s="7">
        <v>103113</v>
      </c>
      <c r="H3" s="7">
        <v>81120</v>
      </c>
      <c r="I3" s="7">
        <v>116799</v>
      </c>
      <c r="J3" s="7"/>
      <c r="K3" s="7"/>
      <c r="L3" s="7">
        <v>2562246</v>
      </c>
    </row>
    <row r="4" spans="1:12" x14ac:dyDescent="0.35">
      <c r="A4" t="s">
        <v>220</v>
      </c>
      <c r="B4" s="7">
        <v>156091</v>
      </c>
      <c r="C4" s="7">
        <v>461885</v>
      </c>
      <c r="D4" s="7">
        <v>90998</v>
      </c>
      <c r="E4" s="7">
        <v>100508</v>
      </c>
      <c r="F4" s="7"/>
      <c r="G4" s="7"/>
      <c r="H4" s="7"/>
      <c r="I4" s="7">
        <v>3</v>
      </c>
      <c r="J4" s="7">
        <v>1680</v>
      </c>
      <c r="K4" s="7"/>
      <c r="L4" s="7">
        <v>811167</v>
      </c>
    </row>
    <row r="5" spans="1:12" x14ac:dyDescent="0.35">
      <c r="A5" t="s">
        <v>221</v>
      </c>
      <c r="B5" s="7">
        <v>-6574</v>
      </c>
      <c r="C5" s="7">
        <v>-2627</v>
      </c>
      <c r="D5" s="7">
        <v>-64546</v>
      </c>
      <c r="E5" s="7">
        <v>-2834</v>
      </c>
      <c r="F5" s="7"/>
      <c r="G5" s="7"/>
      <c r="H5" s="7"/>
      <c r="I5" s="7"/>
      <c r="J5" s="7">
        <v>-1856</v>
      </c>
      <c r="K5" s="7"/>
      <c r="L5" s="7">
        <v>-78437</v>
      </c>
    </row>
    <row r="6" spans="1:12" x14ac:dyDescent="0.35">
      <c r="A6" t="s">
        <v>222</v>
      </c>
      <c r="B6" s="7"/>
      <c r="C6" s="7"/>
      <c r="D6" s="7">
        <v>-21462</v>
      </c>
      <c r="E6" s="7"/>
      <c r="F6" s="7"/>
      <c r="G6" s="7"/>
      <c r="H6" s="7"/>
      <c r="I6" s="7"/>
      <c r="J6" s="7"/>
      <c r="K6" s="7"/>
      <c r="L6" s="7">
        <v>-21462</v>
      </c>
    </row>
    <row r="7" spans="1:12" x14ac:dyDescent="0.35">
      <c r="A7" t="s">
        <v>223</v>
      </c>
      <c r="B7" s="7"/>
      <c r="C7" s="7"/>
      <c r="D7" s="7">
        <v>-17052</v>
      </c>
      <c r="E7" s="7"/>
      <c r="F7" s="7"/>
      <c r="G7" s="7"/>
      <c r="H7" s="7"/>
      <c r="I7" s="7"/>
      <c r="J7" s="7"/>
      <c r="K7" s="7"/>
      <c r="L7" s="7">
        <v>-17052</v>
      </c>
    </row>
    <row r="8" spans="1:12" x14ac:dyDescent="0.35">
      <c r="A8" t="s">
        <v>224</v>
      </c>
      <c r="B8" s="7">
        <v>-23376</v>
      </c>
      <c r="C8" s="7">
        <v>-18849</v>
      </c>
      <c r="D8" s="7">
        <v>-3676</v>
      </c>
      <c r="E8" s="7"/>
      <c r="F8" s="7"/>
      <c r="G8" s="7"/>
      <c r="H8" s="7"/>
      <c r="I8" s="7"/>
      <c r="J8" s="7"/>
      <c r="K8" s="7"/>
      <c r="L8" s="7">
        <v>-45901</v>
      </c>
    </row>
    <row r="9" spans="1:12" x14ac:dyDescent="0.35">
      <c r="A9" t="s">
        <v>225</v>
      </c>
      <c r="B9" s="7">
        <v>1985825</v>
      </c>
      <c r="C9" s="7">
        <v>629760</v>
      </c>
      <c r="D9" s="7">
        <v>-15737</v>
      </c>
      <c r="E9" s="7">
        <v>232988</v>
      </c>
      <c r="F9" s="7">
        <v>76865</v>
      </c>
      <c r="G9" s="7">
        <v>103113</v>
      </c>
      <c r="H9" s="7">
        <v>81120</v>
      </c>
      <c r="I9" s="7">
        <v>116802</v>
      </c>
      <c r="J9" s="7">
        <v>-176</v>
      </c>
      <c r="K9" s="7"/>
      <c r="L9" s="7">
        <v>3210561</v>
      </c>
    </row>
    <row r="10" spans="1:12" x14ac:dyDescent="0.35">
      <c r="A10" t="s">
        <v>226</v>
      </c>
      <c r="B10" s="7">
        <v>-1156</v>
      </c>
      <c r="C10" s="7">
        <v>-4513</v>
      </c>
      <c r="D10" s="7">
        <v>6276</v>
      </c>
      <c r="E10" s="7"/>
      <c r="F10" s="7"/>
      <c r="G10" s="7"/>
      <c r="H10" s="7"/>
      <c r="I10" s="7"/>
      <c r="J10" s="7"/>
      <c r="K10" s="7"/>
      <c r="L10" s="7">
        <v>606</v>
      </c>
    </row>
    <row r="11" spans="1:12" x14ac:dyDescent="0.35">
      <c r="A11" t="s">
        <v>227</v>
      </c>
      <c r="B11" s="7">
        <v>-7497</v>
      </c>
      <c r="C11" s="7">
        <v>-3626</v>
      </c>
      <c r="D11" s="7">
        <v>-15170</v>
      </c>
      <c r="E11" s="7">
        <v>2262</v>
      </c>
      <c r="F11" s="7"/>
      <c r="G11" s="7"/>
      <c r="H11" s="7"/>
      <c r="I11" s="7">
        <v>-7</v>
      </c>
      <c r="J11" s="7">
        <v>-2804</v>
      </c>
      <c r="K11" s="7">
        <v>3995</v>
      </c>
      <c r="L11" s="7">
        <v>-22847</v>
      </c>
    </row>
    <row r="12" spans="1:12" x14ac:dyDescent="0.35">
      <c r="A12" t="s">
        <v>228</v>
      </c>
      <c r="B12" s="7">
        <v>-638388</v>
      </c>
      <c r="C12" s="7">
        <v>-155</v>
      </c>
      <c r="D12" s="7">
        <v>-2564</v>
      </c>
      <c r="E12" s="7">
        <v>-25114</v>
      </c>
      <c r="F12" s="7">
        <v>-76865</v>
      </c>
      <c r="G12" s="7">
        <v>-103113</v>
      </c>
      <c r="H12" s="7">
        <v>-46851</v>
      </c>
      <c r="I12" s="7">
        <v>-35771</v>
      </c>
      <c r="J12" s="7">
        <v>448305</v>
      </c>
      <c r="K12" s="7"/>
      <c r="L12" s="7">
        <v>-480515</v>
      </c>
    </row>
    <row r="13" spans="1:12" x14ac:dyDescent="0.35">
      <c r="A13" t="s">
        <v>66</v>
      </c>
      <c r="B13" s="7">
        <v>-508303</v>
      </c>
      <c r="C13" s="7"/>
      <c r="D13" s="7"/>
      <c r="E13" s="7">
        <v>-24950</v>
      </c>
      <c r="F13" s="7"/>
      <c r="G13" s="7"/>
      <c r="H13" s="7"/>
      <c r="I13" s="7">
        <v>-94</v>
      </c>
      <c r="J13" s="7">
        <v>169533</v>
      </c>
      <c r="K13" s="7">
        <v>101547</v>
      </c>
      <c r="L13" s="7">
        <v>-262266</v>
      </c>
    </row>
    <row r="14" spans="1:12" x14ac:dyDescent="0.35">
      <c r="A14" t="s">
        <v>229</v>
      </c>
      <c r="B14" s="7">
        <v>-8513</v>
      </c>
      <c r="C14" s="7"/>
      <c r="D14" s="7">
        <v>-4428</v>
      </c>
      <c r="E14" s="7"/>
      <c r="F14" s="7"/>
      <c r="G14" s="7"/>
      <c r="H14" s="7"/>
      <c r="I14" s="7">
        <v>-1322</v>
      </c>
      <c r="J14" s="7"/>
      <c r="K14" s="7">
        <v>12393</v>
      </c>
      <c r="L14" s="7">
        <v>-1870</v>
      </c>
    </row>
    <row r="15" spans="1:12" x14ac:dyDescent="0.35">
      <c r="A15" t="s">
        <v>230</v>
      </c>
      <c r="B15" s="7">
        <v>-5837</v>
      </c>
      <c r="C15" s="7"/>
      <c r="D15" s="7">
        <v>-273</v>
      </c>
      <c r="E15" s="7">
        <v>1488</v>
      </c>
      <c r="F15" s="7"/>
      <c r="G15" s="7"/>
      <c r="H15" s="7"/>
      <c r="I15" s="7">
        <v>-7</v>
      </c>
      <c r="J15" s="7"/>
      <c r="K15" s="7"/>
      <c r="L15" s="7">
        <v>-4630</v>
      </c>
    </row>
    <row r="16" spans="1:12" x14ac:dyDescent="0.35">
      <c r="A16" t="s">
        <v>70</v>
      </c>
      <c r="B16" s="7"/>
      <c r="C16" s="7">
        <v>-623188</v>
      </c>
      <c r="D16" s="7">
        <v>607085</v>
      </c>
      <c r="E16" s="7"/>
      <c r="F16" s="7"/>
      <c r="G16" s="7"/>
      <c r="H16" s="7"/>
      <c r="I16" s="7"/>
      <c r="J16" s="7"/>
      <c r="K16" s="7"/>
      <c r="L16" s="7">
        <v>-16103</v>
      </c>
    </row>
    <row r="17" spans="1:12" x14ac:dyDescent="0.35">
      <c r="A17" t="s">
        <v>231</v>
      </c>
      <c r="B17" s="7">
        <v>-127400</v>
      </c>
      <c r="C17" s="7"/>
      <c r="D17" s="7"/>
      <c r="E17" s="7"/>
      <c r="F17" s="7"/>
      <c r="G17" s="7"/>
      <c r="H17" s="7"/>
      <c r="I17" s="7"/>
      <c r="J17" s="7"/>
      <c r="K17" s="7"/>
      <c r="L17" s="7">
        <v>-127400</v>
      </c>
    </row>
    <row r="18" spans="1:12" x14ac:dyDescent="0.35">
      <c r="A18" t="s">
        <v>232</v>
      </c>
      <c r="B18" s="7">
        <v>-10573</v>
      </c>
      <c r="C18" s="7">
        <v>5815</v>
      </c>
      <c r="D18" s="7"/>
      <c r="E18" s="7"/>
      <c r="F18" s="7"/>
      <c r="G18" s="7"/>
      <c r="H18" s="7"/>
      <c r="I18" s="7"/>
      <c r="J18" s="7"/>
      <c r="K18" s="7"/>
      <c r="L18" s="7">
        <v>-4758</v>
      </c>
    </row>
    <row r="19" spans="1:12" x14ac:dyDescent="0.35">
      <c r="A19" t="s">
        <v>233</v>
      </c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</row>
    <row r="20" spans="1:12" x14ac:dyDescent="0.35">
      <c r="A20" t="s">
        <v>234</v>
      </c>
      <c r="B20" s="7">
        <v>-42256</v>
      </c>
      <c r="C20" s="7">
        <v>-3082</v>
      </c>
      <c r="D20" s="7">
        <v>-36718</v>
      </c>
      <c r="E20" s="7">
        <v>-30113</v>
      </c>
      <c r="F20" s="7"/>
      <c r="G20" s="7"/>
      <c r="H20" s="7"/>
      <c r="I20" s="7"/>
      <c r="J20" s="7">
        <v>-65303</v>
      </c>
      <c r="K20" s="7">
        <v>-13390</v>
      </c>
      <c r="L20" s="7">
        <v>-190861</v>
      </c>
    </row>
    <row r="21" spans="1:12" x14ac:dyDescent="0.35">
      <c r="A21" t="s">
        <v>235</v>
      </c>
      <c r="B21" s="7"/>
      <c r="C21" s="7">
        <v>-476</v>
      </c>
      <c r="D21" s="7">
        <v>-12</v>
      </c>
      <c r="E21" s="7">
        <v>-2668</v>
      </c>
      <c r="F21" s="7"/>
      <c r="G21" s="7"/>
      <c r="H21" s="7"/>
      <c r="I21" s="7"/>
      <c r="J21" s="7">
        <v>-28913</v>
      </c>
      <c r="K21" s="7">
        <v>-1212</v>
      </c>
      <c r="L21" s="7">
        <v>-33282</v>
      </c>
    </row>
    <row r="22" spans="1:12" x14ac:dyDescent="0.35">
      <c r="A22" t="s">
        <v>131</v>
      </c>
      <c r="B22" s="7">
        <v>635903</v>
      </c>
      <c r="C22" s="7">
        <v>536</v>
      </c>
      <c r="D22" s="7">
        <v>538459</v>
      </c>
      <c r="E22" s="7">
        <v>153894</v>
      </c>
      <c r="F22" s="7"/>
      <c r="G22" s="7"/>
      <c r="H22" s="7">
        <v>34269</v>
      </c>
      <c r="I22" s="7">
        <v>79602</v>
      </c>
      <c r="J22" s="7">
        <v>520642</v>
      </c>
      <c r="K22" s="7">
        <v>103332</v>
      </c>
      <c r="L22" s="7">
        <v>2066636</v>
      </c>
    </row>
    <row r="23" spans="1:12" x14ac:dyDescent="0.35">
      <c r="A23" t="s">
        <v>80</v>
      </c>
      <c r="B23" s="7">
        <v>495570</v>
      </c>
      <c r="C23" s="7">
        <v>536</v>
      </c>
      <c r="D23" s="7">
        <v>45681</v>
      </c>
      <c r="E23" s="7">
        <v>65460</v>
      </c>
      <c r="F23" s="7"/>
      <c r="G23" s="7"/>
      <c r="H23" s="7">
        <v>482</v>
      </c>
      <c r="I23" s="7"/>
      <c r="J23" s="7">
        <v>320591</v>
      </c>
      <c r="K23" s="7">
        <v>69351</v>
      </c>
      <c r="L23" s="7">
        <v>997672</v>
      </c>
    </row>
    <row r="24" spans="1:12" x14ac:dyDescent="0.35">
      <c r="A24" t="s">
        <v>82</v>
      </c>
      <c r="B24" s="7">
        <v>2</v>
      </c>
      <c r="C24" s="7"/>
      <c r="D24" s="7">
        <v>290492</v>
      </c>
      <c r="E24" s="7">
        <v>22269</v>
      </c>
      <c r="F24" s="7"/>
      <c r="G24" s="7"/>
      <c r="H24" s="7"/>
      <c r="I24" s="7">
        <v>2311</v>
      </c>
      <c r="J24" s="7">
        <v>12162</v>
      </c>
      <c r="K24" s="7"/>
      <c r="L24" s="7">
        <v>327235</v>
      </c>
    </row>
    <row r="25" spans="1:12" x14ac:dyDescent="0.35">
      <c r="A25" t="s">
        <v>86</v>
      </c>
      <c r="B25" s="7">
        <v>45329</v>
      </c>
      <c r="C25" s="7"/>
      <c r="D25" s="7">
        <v>43877</v>
      </c>
      <c r="E25" s="7">
        <v>41301</v>
      </c>
      <c r="F25" s="7"/>
      <c r="G25" s="7"/>
      <c r="H25" s="7">
        <v>26626</v>
      </c>
      <c r="I25" s="7">
        <v>77286</v>
      </c>
      <c r="J25" s="7">
        <v>85253</v>
      </c>
      <c r="K25" s="7">
        <v>27042</v>
      </c>
      <c r="L25" s="7">
        <v>346713</v>
      </c>
    </row>
    <row r="26" spans="1:12" x14ac:dyDescent="0.35">
      <c r="A26" t="s">
        <v>88</v>
      </c>
      <c r="B26" s="7">
        <v>17122</v>
      </c>
      <c r="C26" s="7"/>
      <c r="D26" s="7">
        <v>16387</v>
      </c>
      <c r="E26" s="7">
        <v>14599</v>
      </c>
      <c r="F26" s="7"/>
      <c r="G26" s="7"/>
      <c r="H26" s="7">
        <v>5606</v>
      </c>
      <c r="I26" s="7">
        <v>3</v>
      </c>
      <c r="J26" s="7">
        <v>38439</v>
      </c>
      <c r="K26" s="7">
        <v>2806</v>
      </c>
      <c r="L26" s="7">
        <v>94962</v>
      </c>
    </row>
    <row r="27" spans="1:12" x14ac:dyDescent="0.35">
      <c r="A27" t="s">
        <v>90</v>
      </c>
      <c r="B27" s="7">
        <v>13790</v>
      </c>
      <c r="C27" s="7"/>
      <c r="D27" s="7">
        <v>18884</v>
      </c>
      <c r="E27" s="7">
        <v>111</v>
      </c>
      <c r="F27" s="7"/>
      <c r="G27" s="7"/>
      <c r="H27" s="7">
        <v>1472</v>
      </c>
      <c r="I27" s="7"/>
      <c r="J27" s="7">
        <v>10914</v>
      </c>
      <c r="K27" s="7">
        <v>34</v>
      </c>
      <c r="L27" s="7">
        <v>45204</v>
      </c>
    </row>
    <row r="28" spans="1:12" x14ac:dyDescent="0.35">
      <c r="A28" t="s">
        <v>92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</row>
    <row r="29" spans="1:12" x14ac:dyDescent="0.35">
      <c r="A29" t="s">
        <v>94</v>
      </c>
      <c r="B29" s="7">
        <v>18776</v>
      </c>
      <c r="C29" s="7"/>
      <c r="D29" s="7"/>
      <c r="E29" s="7"/>
      <c r="F29" s="7"/>
      <c r="G29" s="7"/>
      <c r="H29" s="7">
        <v>82</v>
      </c>
      <c r="I29" s="7">
        <v>3</v>
      </c>
      <c r="J29" s="7">
        <v>53283</v>
      </c>
      <c r="K29" s="7">
        <v>4100</v>
      </c>
      <c r="L29" s="7">
        <v>76243</v>
      </c>
    </row>
    <row r="30" spans="1:12" x14ac:dyDescent="0.35">
      <c r="A30" t="s">
        <v>236</v>
      </c>
      <c r="B30" s="7">
        <v>45314</v>
      </c>
      <c r="C30" s="7"/>
      <c r="D30" s="7">
        <v>123138</v>
      </c>
      <c r="E30" s="7">
        <v>10154</v>
      </c>
      <c r="F30" s="7"/>
      <c r="G30" s="7"/>
      <c r="H30" s="7"/>
      <c r="I30" s="7"/>
      <c r="J30" s="7"/>
      <c r="K30" s="7"/>
      <c r="L30" s="7">
        <v>178606</v>
      </c>
    </row>
    <row r="32" spans="1:12" x14ac:dyDescent="0.35">
      <c r="B32" s="7">
        <f>SUM(B9,B10:B21,B22*-1)</f>
        <v>-1</v>
      </c>
      <c r="C32" s="7">
        <f t="shared" ref="C32:L32" si="0">SUM(C9,C10:C21,C22*-1)</f>
        <v>-1</v>
      </c>
      <c r="D32" s="7">
        <f t="shared" si="0"/>
        <v>0</v>
      </c>
      <c r="E32" s="7">
        <f t="shared" si="0"/>
        <v>-1</v>
      </c>
      <c r="F32" s="7">
        <f t="shared" si="0"/>
        <v>0</v>
      </c>
      <c r="G32" s="7">
        <f t="shared" si="0"/>
        <v>0</v>
      </c>
      <c r="H32" s="7">
        <f t="shared" si="0"/>
        <v>0</v>
      </c>
      <c r="I32" s="7">
        <f t="shared" si="0"/>
        <v>-1</v>
      </c>
      <c r="J32" s="7">
        <f t="shared" si="0"/>
        <v>0</v>
      </c>
      <c r="K32" s="7">
        <f t="shared" si="0"/>
        <v>1</v>
      </c>
      <c r="L32" s="7">
        <f t="shared" si="0"/>
        <v>-1</v>
      </c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Ark24"/>
  <dimension ref="A1:AH30"/>
  <sheetViews>
    <sheetView topLeftCell="Q1" zoomScale="130" zoomScaleNormal="130" workbookViewId="0">
      <selection sqref="A1:AI30"/>
    </sheetView>
  </sheetViews>
  <sheetFormatPr defaultRowHeight="14.5" x14ac:dyDescent="0.35"/>
  <cols>
    <col min="3" max="3" width="16.453125" customWidth="1"/>
    <col min="4" max="4" width="12.81640625" customWidth="1"/>
    <col min="5" max="5" width="12.54296875" customWidth="1"/>
    <col min="6" max="6" width="16.54296875" customWidth="1"/>
    <col min="10" max="10" width="12.54296875" customWidth="1"/>
    <col min="11" max="11" width="11.54296875" customWidth="1"/>
    <col min="14" max="14" width="10.81640625" customWidth="1"/>
    <col min="15" max="15" width="51.54296875" customWidth="1"/>
    <col min="16" max="18" width="15.81640625" customWidth="1"/>
    <col min="19" max="19" width="12.81640625" customWidth="1"/>
    <col min="24" max="24" width="14.1796875" bestFit="1" customWidth="1"/>
    <col min="33" max="34" width="11.26953125" customWidth="1"/>
  </cols>
  <sheetData>
    <row r="1" spans="1:34" ht="140" x14ac:dyDescent="0.35">
      <c r="B1" s="44" t="s">
        <v>0</v>
      </c>
      <c r="C1" s="3" t="s">
        <v>1</v>
      </c>
      <c r="D1" s="8" t="s">
        <v>2</v>
      </c>
      <c r="E1" s="2" t="s">
        <v>3</v>
      </c>
      <c r="F1" s="3" t="s">
        <v>4</v>
      </c>
      <c r="G1" s="1" t="s">
        <v>5</v>
      </c>
      <c r="H1" s="1" t="s">
        <v>6</v>
      </c>
      <c r="I1" s="1" t="s">
        <v>7</v>
      </c>
      <c r="J1" s="3" t="s">
        <v>8</v>
      </c>
      <c r="K1" s="2" t="s">
        <v>9</v>
      </c>
      <c r="L1" s="2" t="s">
        <v>10</v>
      </c>
      <c r="M1" s="17" t="s">
        <v>11</v>
      </c>
      <c r="N1" s="5" t="s">
        <v>12</v>
      </c>
      <c r="O1" s="4" t="s">
        <v>258</v>
      </c>
      <c r="P1" s="60"/>
      <c r="Q1" s="60"/>
      <c r="R1" s="12" t="s">
        <v>14</v>
      </c>
      <c r="S1" s="11" t="s">
        <v>15</v>
      </c>
      <c r="T1" s="12" t="s">
        <v>16</v>
      </c>
      <c r="U1" s="44" t="s">
        <v>17</v>
      </c>
      <c r="V1" s="3" t="s">
        <v>1</v>
      </c>
      <c r="W1" s="8" t="s">
        <v>2</v>
      </c>
      <c r="X1" s="9" t="s">
        <v>3</v>
      </c>
      <c r="Y1" s="3" t="s">
        <v>4</v>
      </c>
      <c r="Z1" s="1" t="s">
        <v>5</v>
      </c>
      <c r="AA1" s="1" t="s">
        <v>6</v>
      </c>
      <c r="AB1" s="1" t="s">
        <v>7</v>
      </c>
      <c r="AC1" s="3" t="s">
        <v>8</v>
      </c>
      <c r="AD1" s="2" t="s">
        <v>9</v>
      </c>
      <c r="AE1" s="2" t="s">
        <v>10</v>
      </c>
      <c r="AF1" s="17" t="s">
        <v>11</v>
      </c>
      <c r="AG1" s="13" t="s">
        <v>18</v>
      </c>
      <c r="AH1" s="13" t="s">
        <v>19</v>
      </c>
    </row>
    <row r="2" spans="1:34" ht="24.75" customHeight="1" x14ac:dyDescent="0.35">
      <c r="A2" s="45" t="s">
        <v>20</v>
      </c>
      <c r="B2" s="46" t="s">
        <v>21</v>
      </c>
      <c r="C2" s="46" t="s">
        <v>22</v>
      </c>
      <c r="D2" s="46" t="s">
        <v>23</v>
      </c>
      <c r="E2" s="47" t="s">
        <v>24</v>
      </c>
      <c r="F2" s="46" t="s">
        <v>25</v>
      </c>
      <c r="G2" s="46" t="s">
        <v>26</v>
      </c>
      <c r="H2" s="46" t="s">
        <v>27</v>
      </c>
      <c r="I2" s="46" t="s">
        <v>28</v>
      </c>
      <c r="J2" s="48" t="s">
        <v>29</v>
      </c>
      <c r="K2" s="47" t="s">
        <v>30</v>
      </c>
      <c r="L2" s="49" t="s">
        <v>31</v>
      </c>
      <c r="M2" s="49" t="s">
        <v>32</v>
      </c>
      <c r="N2" s="50" t="s">
        <v>33</v>
      </c>
      <c r="O2" s="51"/>
      <c r="P2" s="52" t="s">
        <v>20</v>
      </c>
      <c r="Q2" s="53" t="s">
        <v>34</v>
      </c>
      <c r="R2" s="50" t="s">
        <v>35</v>
      </c>
      <c r="S2" s="54" t="s">
        <v>36</v>
      </c>
      <c r="T2" s="50" t="s">
        <v>37</v>
      </c>
      <c r="U2" s="46" t="s">
        <v>38</v>
      </c>
      <c r="V2" s="46" t="s">
        <v>39</v>
      </c>
      <c r="W2" s="46" t="s">
        <v>40</v>
      </c>
      <c r="X2" s="47" t="s">
        <v>41</v>
      </c>
      <c r="Y2" s="46" t="s">
        <v>42</v>
      </c>
      <c r="Z2" s="46" t="s">
        <v>43</v>
      </c>
      <c r="AA2" s="46" t="s">
        <v>44</v>
      </c>
      <c r="AB2" s="46" t="s">
        <v>45</v>
      </c>
      <c r="AC2" s="46" t="s">
        <v>46</v>
      </c>
      <c r="AD2" s="47" t="s">
        <v>47</v>
      </c>
      <c r="AE2" s="47" t="s">
        <v>48</v>
      </c>
      <c r="AF2" s="49" t="s">
        <v>49</v>
      </c>
      <c r="AG2" s="46" t="s">
        <v>50</v>
      </c>
      <c r="AH2" s="46" t="s">
        <v>51</v>
      </c>
    </row>
    <row r="3" spans="1:34" ht="24.75" customHeight="1" x14ac:dyDescent="0.35">
      <c r="A3" s="45" t="s">
        <v>34</v>
      </c>
      <c r="B3" s="55"/>
      <c r="C3" s="56" t="s">
        <v>52</v>
      </c>
      <c r="D3" s="56" t="s">
        <v>52</v>
      </c>
      <c r="E3" s="56" t="s">
        <v>21</v>
      </c>
      <c r="F3" s="56" t="s">
        <v>21</v>
      </c>
      <c r="G3" s="56" t="s">
        <v>21</v>
      </c>
      <c r="H3" s="56" t="s">
        <v>52</v>
      </c>
      <c r="I3" s="56" t="s">
        <v>52</v>
      </c>
      <c r="J3" s="56" t="s">
        <v>21</v>
      </c>
      <c r="K3" s="56" t="s">
        <v>21</v>
      </c>
      <c r="L3" s="57" t="s">
        <v>21</v>
      </c>
      <c r="M3" s="57" t="s">
        <v>21</v>
      </c>
      <c r="N3" s="50"/>
      <c r="O3" s="51" t="s">
        <v>53</v>
      </c>
      <c r="P3" s="52"/>
      <c r="Q3" s="53"/>
      <c r="R3" s="74"/>
      <c r="S3" s="58"/>
      <c r="T3" s="59"/>
      <c r="U3" s="55"/>
      <c r="V3" s="56" t="s">
        <v>38</v>
      </c>
      <c r="W3" s="56" t="s">
        <v>38</v>
      </c>
      <c r="X3" s="56" t="s">
        <v>38</v>
      </c>
      <c r="Y3" s="56" t="s">
        <v>38</v>
      </c>
      <c r="Z3" s="56" t="s">
        <v>38</v>
      </c>
      <c r="AA3" s="56" t="s">
        <v>38</v>
      </c>
      <c r="AB3" s="56" t="s">
        <v>54</v>
      </c>
      <c r="AC3" s="56" t="s">
        <v>38</v>
      </c>
      <c r="AD3" s="56" t="s">
        <v>38</v>
      </c>
      <c r="AE3" s="56" t="s">
        <v>38</v>
      </c>
      <c r="AF3" s="57" t="s">
        <v>38</v>
      </c>
      <c r="AG3" s="56"/>
      <c r="AH3" s="56"/>
    </row>
    <row r="4" spans="1:34" ht="24.75" customHeight="1" x14ac:dyDescent="0.35">
      <c r="A4" s="72" t="s">
        <v>55</v>
      </c>
      <c r="B4" s="72"/>
      <c r="C4" s="56"/>
      <c r="D4" s="56"/>
      <c r="E4" s="56"/>
      <c r="F4" s="56"/>
      <c r="G4" s="56"/>
      <c r="H4" s="56"/>
      <c r="I4" s="56"/>
      <c r="J4" s="56"/>
      <c r="K4" s="56"/>
      <c r="L4" s="57"/>
      <c r="M4" s="57"/>
      <c r="N4" s="50"/>
      <c r="O4" s="51"/>
      <c r="P4" s="73"/>
      <c r="Q4" s="53"/>
      <c r="R4" s="74"/>
      <c r="S4" s="58"/>
      <c r="T4" s="59"/>
      <c r="U4" s="55">
        <f>B4</f>
        <v>0</v>
      </c>
      <c r="V4" s="56"/>
      <c r="W4" s="56"/>
      <c r="X4" s="56"/>
      <c r="Y4" s="56"/>
      <c r="Z4" s="56"/>
      <c r="AA4" s="56"/>
      <c r="AB4" s="56"/>
      <c r="AC4" s="56"/>
      <c r="AD4" s="56"/>
      <c r="AE4" s="56"/>
      <c r="AF4" s="57"/>
      <c r="AG4" s="56">
        <f>U4</f>
        <v>0</v>
      </c>
      <c r="AH4" s="56">
        <f>U4</f>
        <v>0</v>
      </c>
    </row>
    <row r="5" spans="1:34" x14ac:dyDescent="0.35">
      <c r="C5" s="14"/>
      <c r="D5" s="14"/>
      <c r="E5" s="14"/>
      <c r="F5" s="14"/>
      <c r="G5" s="14"/>
      <c r="H5" s="14"/>
      <c r="I5" s="14"/>
      <c r="J5" s="14"/>
      <c r="K5" s="14"/>
      <c r="L5" s="14"/>
      <c r="M5" s="14"/>
      <c r="N5" s="23">
        <f>SUM(C5:M5)</f>
        <v>0</v>
      </c>
      <c r="O5" s="10" t="s">
        <v>56</v>
      </c>
      <c r="P5" s="62" t="s">
        <v>57</v>
      </c>
      <c r="Q5" s="63"/>
      <c r="R5" s="63"/>
      <c r="S5" s="24">
        <f>SUM(V5:AF5)</f>
        <v>69294.824451092529</v>
      </c>
      <c r="T5" s="37"/>
      <c r="U5" s="61"/>
      <c r="V5" s="14">
        <f>-(C6+C5)</f>
        <v>25234.619112306435</v>
      </c>
      <c r="W5" s="14">
        <f>-(D6+D5)</f>
        <v>19765.443833038124</v>
      </c>
      <c r="X5" s="14"/>
      <c r="Y5" s="14">
        <f>-(F6+F5)</f>
        <v>9442.2380715581821</v>
      </c>
      <c r="Z5" s="14">
        <f>-(G6+G5)</f>
        <v>824.41830406672057</v>
      </c>
      <c r="AA5" s="14"/>
      <c r="AB5" s="14"/>
      <c r="AC5" s="14">
        <f>-(J6+J5)</f>
        <v>14028.105130123067</v>
      </c>
      <c r="AD5" s="14"/>
      <c r="AE5" s="14"/>
      <c r="AF5" s="14"/>
      <c r="AG5" s="14"/>
      <c r="AH5" s="14"/>
    </row>
    <row r="6" spans="1:34" x14ac:dyDescent="0.35">
      <c r="C6" s="14">
        <f>-V6</f>
        <v>-25234.619112306435</v>
      </c>
      <c r="D6" s="14">
        <f>-W6</f>
        <v>-19765.443833038124</v>
      </c>
      <c r="E6" s="14"/>
      <c r="F6" s="14">
        <f>-Y6</f>
        <v>-9442.2380715581821</v>
      </c>
      <c r="G6" s="14">
        <f>-Z6</f>
        <v>-824.41830406672057</v>
      </c>
      <c r="H6" s="14"/>
      <c r="I6" s="14"/>
      <c r="J6" s="14">
        <f>-AC6</f>
        <v>-14028.105130123067</v>
      </c>
      <c r="K6" s="14"/>
      <c r="L6" s="18"/>
      <c r="M6" s="18"/>
      <c r="N6" s="23">
        <f t="shared" ref="N6:N15" si="0">SUM(C6:M6)</f>
        <v>-69294.824451092529</v>
      </c>
      <c r="O6" s="22" t="s">
        <v>58</v>
      </c>
      <c r="P6" s="65" t="s">
        <v>59</v>
      </c>
      <c r="Q6" s="66"/>
      <c r="R6" s="66"/>
      <c r="S6" s="24">
        <f t="shared" ref="S6:S25" si="1">SUM(V6:AF6)</f>
        <v>69294.824451092529</v>
      </c>
      <c r="T6" s="37"/>
      <c r="U6" s="61"/>
      <c r="V6" s="14">
        <f>-(C16+C8)</f>
        <v>25234.619112306435</v>
      </c>
      <c r="W6" s="14">
        <f>-(D16+D8)</f>
        <v>19765.443833038124</v>
      </c>
      <c r="X6" s="14"/>
      <c r="Y6" s="14">
        <f>-(F16+F8)</f>
        <v>9442.2380715581821</v>
      </c>
      <c r="Z6" s="14">
        <f>-(G16+G8)</f>
        <v>824.41830406672057</v>
      </c>
      <c r="AA6" s="14"/>
      <c r="AB6" s="14"/>
      <c r="AC6" s="14">
        <f>-(J16+J8)</f>
        <v>14028.105130123067</v>
      </c>
      <c r="AD6" s="14"/>
      <c r="AE6" s="14"/>
      <c r="AF6" s="14"/>
      <c r="AG6" s="21">
        <f>-(N6+S6)</f>
        <v>0</v>
      </c>
      <c r="AH6" s="21"/>
    </row>
    <row r="7" spans="1:34" x14ac:dyDescent="0.35"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23">
        <f t="shared" si="0"/>
        <v>0</v>
      </c>
      <c r="O7" s="22" t="s">
        <v>60</v>
      </c>
      <c r="P7" s="67" t="s">
        <v>61</v>
      </c>
      <c r="Q7" s="66"/>
      <c r="R7" s="66"/>
      <c r="S7" s="24">
        <f t="shared" si="1"/>
        <v>3323.6680127164846</v>
      </c>
      <c r="T7" s="37"/>
      <c r="U7" s="61"/>
      <c r="V7" s="14"/>
      <c r="W7" s="14"/>
      <c r="X7" s="14"/>
      <c r="Y7" s="14"/>
      <c r="Z7" s="16"/>
      <c r="AA7" s="19">
        <f>-H8</f>
        <v>1501.2828116198318</v>
      </c>
      <c r="AB7" s="19">
        <f>-I8</f>
        <v>1822.385201096653</v>
      </c>
      <c r="AC7" s="14"/>
      <c r="AD7" s="14"/>
      <c r="AE7" s="14"/>
      <c r="AF7" s="14"/>
      <c r="AG7" s="14"/>
      <c r="AH7" s="14"/>
    </row>
    <row r="8" spans="1:34" x14ac:dyDescent="0.35">
      <c r="C8" s="14">
        <f>SUM(C9:C13)</f>
        <v>-18234.325623225552</v>
      </c>
      <c r="D8" s="14">
        <f t="shared" ref="D8:M8" si="2">SUM(D9:D13)</f>
        <v>-19765.443833038124</v>
      </c>
      <c r="E8" s="14">
        <f t="shared" si="2"/>
        <v>-2131.054431018184</v>
      </c>
      <c r="F8" s="14">
        <f t="shared" si="2"/>
        <v>-6428.389782202159</v>
      </c>
      <c r="G8" s="14">
        <f t="shared" si="2"/>
        <v>-824.41830406672057</v>
      </c>
      <c r="H8" s="14">
        <f t="shared" si="2"/>
        <v>-1501.2828116198318</v>
      </c>
      <c r="I8" s="14">
        <f t="shared" si="2"/>
        <v>-1822.385201096653</v>
      </c>
      <c r="J8" s="14">
        <f t="shared" si="2"/>
        <v>-1792.9688392427474</v>
      </c>
      <c r="K8" s="14">
        <f t="shared" si="2"/>
        <v>-620.75239999999997</v>
      </c>
      <c r="L8" s="14">
        <f t="shared" si="2"/>
        <v>-23.867039999999999</v>
      </c>
      <c r="M8" s="14">
        <f t="shared" si="2"/>
        <v>0</v>
      </c>
      <c r="N8" s="23">
        <f t="shared" si="0"/>
        <v>-53144.888265509966</v>
      </c>
      <c r="O8" s="22" t="s">
        <v>62</v>
      </c>
      <c r="P8" s="67" t="s">
        <v>63</v>
      </c>
      <c r="Q8" s="66"/>
      <c r="R8" s="66"/>
      <c r="S8" s="24">
        <f t="shared" si="1"/>
        <v>31187.863926621892</v>
      </c>
      <c r="T8" s="37"/>
      <c r="U8" s="61"/>
      <c r="V8" s="14">
        <f>SUM(V9:V13)</f>
        <v>0</v>
      </c>
      <c r="W8" s="14"/>
      <c r="X8" s="14">
        <f>(E14+E8)*-1</f>
        <v>19414.766871537755</v>
      </c>
      <c r="Y8" s="14"/>
      <c r="Z8" s="14"/>
      <c r="AA8" s="14"/>
      <c r="AB8" s="14"/>
      <c r="AC8" s="14"/>
      <c r="AD8" s="14">
        <f>(K14+K8)*-1</f>
        <v>11626.671986848294</v>
      </c>
      <c r="AE8" s="14">
        <f>(L14+L8)*-1</f>
        <v>146.4250682358421</v>
      </c>
      <c r="AF8" s="14"/>
      <c r="AG8" s="21">
        <f>-(N8+S8)</f>
        <v>21957.024338888074</v>
      </c>
      <c r="AH8" s="21">
        <f>SUM(AH9:AH13)</f>
        <v>2260.6392885493324</v>
      </c>
    </row>
    <row r="9" spans="1:34" x14ac:dyDescent="0.35">
      <c r="C9" s="26">
        <f>-($AD$9+$H$9+$I$9)/$T$9*' KF Asia excluding China'!$I109</f>
        <v>-17624.805259451648</v>
      </c>
      <c r="D9" s="26">
        <f>-($AD$9+$H$9+$I$9)/$T$9*' KF Asia excluding China'!$I110</f>
        <v>0</v>
      </c>
      <c r="E9" s="26">
        <f>-($AD$9+$H$9+$I$9)/$T$9*' KF Asia excluding China'!$I111</f>
        <v>-1064.9951462084746</v>
      </c>
      <c r="F9" s="26">
        <f>-($AD$9+$H$9+$I$9)/$T$9*' KF Asia excluding China'!$I112</f>
        <v>-5173.1311267814735</v>
      </c>
      <c r="G9" s="26">
        <f>-($AD$9+$H$9+$I$9)/$T$9*' KF Asia excluding China'!$I113</f>
        <v>-824.41830406672057</v>
      </c>
      <c r="H9" s="26">
        <f>AD9*' KF Asia excluding China'!I94*-1</f>
        <v>-1501.2828116198318</v>
      </c>
      <c r="I9" s="26">
        <f>AD9*' KF Asia excluding China'!I95*-1</f>
        <v>-1822.385201096653</v>
      </c>
      <c r="J9" s="26">
        <f>-($AD$9+$H$9+$I$9)/$T$9*' KF Asia excluding China'!$I114</f>
        <v>-1747.1086030446786</v>
      </c>
      <c r="K9" s="25"/>
      <c r="L9" s="25"/>
      <c r="M9" s="25"/>
      <c r="N9" s="23">
        <f t="shared" si="0"/>
        <v>-29758.12645226948</v>
      </c>
      <c r="O9" s="6" t="s">
        <v>64</v>
      </c>
      <c r="P9" s="68" t="s">
        <v>65</v>
      </c>
      <c r="Q9" s="69" t="s">
        <v>63</v>
      </c>
      <c r="R9" s="69"/>
      <c r="S9" s="24">
        <f t="shared" si="1"/>
        <v>11460.62251802908</v>
      </c>
      <c r="T9" s="37">
        <f>' KF Asia excluding China'!I104</f>
        <v>0.30781619846380293</v>
      </c>
      <c r="U9" s="61"/>
      <c r="V9" s="28"/>
      <c r="W9" s="28"/>
      <c r="X9" s="28"/>
      <c r="Y9" s="28"/>
      <c r="Z9" s="28"/>
      <c r="AA9" s="28"/>
      <c r="AB9" s="28"/>
      <c r="AC9" s="28"/>
      <c r="AD9" s="28">
        <f>AD8-AD10</f>
        <v>11460.62251802908</v>
      </c>
      <c r="AE9" s="28"/>
      <c r="AF9" s="28"/>
      <c r="AG9" s="29">
        <f>-(S9+N9)</f>
        <v>18297.503934240398</v>
      </c>
      <c r="AH9" s="29">
        <f>-(C9*Emissionsfaktorer!$B$2*(1-' KF Asia excluding China'!I134)+D9*Emissionsfaktorer!$B$3+E9*Emissionsfaktorer!$B$4*(1-' KF Asia excluding China'!I135)+F9*Emissionsfaktorer!$B$5*(1-' KF Asia excluding China'!I136)+G9*Emissionsfaktorer!$B$6+H9*Emissionsfaktorer!$B$7+I9*Emissionsfaktorer!$B$8-J9*Emissionsfaktorer!B13*' KF Asia excluding China'!I137+K9*Emissionsfaktorer!$B$10+L9*Emissionsfaktorer!$B$11+M9*Emissionsfaktorer!$B$12)</f>
        <v>2050.1646049862948</v>
      </c>
    </row>
    <row r="10" spans="1:34" x14ac:dyDescent="0.35">
      <c r="C10" s="26">
        <f>-($AD$10+$AE$10+$H$10+$I$10)/$T$10*' KF Asia excluding China'!$I116</f>
        <v>-487.08663577390223</v>
      </c>
      <c r="D10" s="26">
        <f>-($AD$10+$AE$10+$H$10+$I$10)/$T$10*' KF Asia excluding China'!$I117</f>
        <v>0</v>
      </c>
      <c r="E10" s="26">
        <f>-($AD$10+$AE$10+$H$10+$I$10)/$T$10*' KF Asia excluding China'!$I118</f>
        <v>-19.091796809709685</v>
      </c>
      <c r="F10" s="26">
        <f>-($AD$10+$AE$10+$H$10+$I$10)/$T$10*' KF Asia excluding China'!$I119</f>
        <v>-8.6035994206846222</v>
      </c>
      <c r="G10" s="26">
        <f>-($AD$10+$AE$10+$H$10+$I$10)/$T$10*' KF Asia excluding China'!$I120</f>
        <v>0</v>
      </c>
      <c r="H10" s="26"/>
      <c r="I10" s="26">
        <f>(AD10+AE10)*' KF Asia excluding China'!I98*-1</f>
        <v>0</v>
      </c>
      <c r="J10" s="26">
        <f>-($AD$10+$AE$10+$H$10+$I$10)/$T$10*' KF Asia excluding China'!$I121</f>
        <v>-45.148412198068826</v>
      </c>
      <c r="K10" s="25"/>
      <c r="L10" s="25"/>
      <c r="M10" s="25"/>
      <c r="N10" s="23">
        <f t="shared" si="0"/>
        <v>-559.93044420236538</v>
      </c>
      <c r="O10" s="6" t="s">
        <v>66</v>
      </c>
      <c r="P10" s="68" t="s">
        <v>67</v>
      </c>
      <c r="Q10" s="69" t="s">
        <v>63</v>
      </c>
      <c r="R10" s="69"/>
      <c r="S10" s="24">
        <f t="shared" si="1"/>
        <v>312.47453705505535</v>
      </c>
      <c r="T10" s="37">
        <f>' KF Asia excluding China'!I105</f>
        <v>0.55805955952293851</v>
      </c>
      <c r="U10" s="61"/>
      <c r="V10" s="28"/>
      <c r="W10" s="28"/>
      <c r="X10" s="28"/>
      <c r="Y10" s="28"/>
      <c r="Z10" s="28"/>
      <c r="AA10" s="28"/>
      <c r="AB10" s="28"/>
      <c r="AC10" s="28"/>
      <c r="AD10" s="28">
        <f>AE10*' KF Asia excluding China'!I90</f>
        <v>166.04946881921325</v>
      </c>
      <c r="AE10" s="28">
        <f>AE8*' KF Asia excluding China'!I85</f>
        <v>146.4250682358421</v>
      </c>
      <c r="AF10" s="28"/>
      <c r="AG10" s="29">
        <f t="shared" ref="AG10:AG11" si="3">-(S10+N10)</f>
        <v>247.45590714731003</v>
      </c>
      <c r="AH10" s="29">
        <f>-(C10*Emissionsfaktorer!$B$2*(1-' KF Asia excluding China'!I135)+D10*Emissionsfaktorer!$B$3+E10*Emissionsfaktorer!$B$4*(1-' KF Asia excluding China'!I136)+F10*Emissionsfaktorer!$B$5*(1-' KF Asia excluding China'!I137)+G10*Emissionsfaktorer!$B$6+H10*Emissionsfaktorer!$B$7+I10*Emissionsfaktorer!$B$8-J10*Emissionsfaktorer!B14*' KF Asia excluding China'!I142+K10*Emissionsfaktorer!$B$10+L10*Emissionsfaktorer!$B$11+M10*Emissionsfaktorer!$B$12)</f>
        <v>48.214612123037668</v>
      </c>
    </row>
    <row r="11" spans="1:34" x14ac:dyDescent="0.35">
      <c r="C11" s="26">
        <f>-($AE$11+$H$11+$I$11)/IF($T$11=0,1,$T$11)*' KF Asia excluding China'!$I123</f>
        <v>0</v>
      </c>
      <c r="D11" s="26">
        <f>-($AE$11+$H$11+$I$11)/IF($T$11=0,1,$T$11)*' KF Asia excluding China'!$I123</f>
        <v>0</v>
      </c>
      <c r="E11" s="26">
        <f>-($AE$11+$H$11+$I$11)/IF($T$11=0,1,$T$11)*' KF Asia excluding China'!$I123</f>
        <v>0</v>
      </c>
      <c r="F11" s="26">
        <f>-($AE$11+$H$11+$I$11)/IF($T$11=0,1,$T$11)*' KF Asia excluding China'!$I123</f>
        <v>0</v>
      </c>
      <c r="G11" s="26">
        <f>-($AE$11+$H$11+$I$11)/IF($T$11=0,1,$T$11)*' KF Asia excluding China'!$I123</f>
        <v>0</v>
      </c>
      <c r="H11" s="26"/>
      <c r="I11" s="26">
        <f>AE11*' KF Asia excluding China'!I101*-1</f>
        <v>0</v>
      </c>
      <c r="J11" s="26">
        <f>-($AE$11+$H$11+$I$11)/IF($T$11=0,1,$T$11)*' KF Asia excluding China'!$I128</f>
        <v>0</v>
      </c>
      <c r="K11" s="28">
        <f>AE11*' KF Asia excluding China'!I88*-1</f>
        <v>0</v>
      </c>
      <c r="L11" s="25"/>
      <c r="M11" s="25"/>
      <c r="N11" s="23">
        <f t="shared" si="0"/>
        <v>0</v>
      </c>
      <c r="O11" s="6" t="s">
        <v>68</v>
      </c>
      <c r="P11" s="64" t="s">
        <v>69</v>
      </c>
      <c r="Q11" s="69" t="s">
        <v>63</v>
      </c>
      <c r="R11" s="69"/>
      <c r="S11" s="24">
        <f t="shared" si="1"/>
        <v>0</v>
      </c>
      <c r="T11" s="37">
        <f>' KF Asia excluding China'!I106</f>
        <v>0</v>
      </c>
      <c r="U11" s="61"/>
      <c r="V11" s="28"/>
      <c r="W11" s="28"/>
      <c r="X11" s="28"/>
      <c r="Y11" s="28"/>
      <c r="Z11" s="28"/>
      <c r="AA11" s="28"/>
      <c r="AB11" s="28"/>
      <c r="AC11" s="28"/>
      <c r="AD11" s="28"/>
      <c r="AE11" s="28">
        <f>AE8*' KF Asia excluding China'!I86</f>
        <v>0</v>
      </c>
      <c r="AF11" s="28"/>
      <c r="AG11" s="29">
        <f t="shared" si="3"/>
        <v>0</v>
      </c>
      <c r="AH11" s="29">
        <f>-(C11*Emissionsfaktorer!$B$2+D11*Emissionsfaktorer!$B$3+E11*Emissionsfaktorer!$B$4+F11*Emissionsfaktorer!$B$5+G11*Emissionsfaktorer!$B$6+H11*Emissionsfaktorer!$B$7+I11*Emissionsfaktorer!$B$8+J11*Emissionsfaktorer!$B$9+K11*Emissionsfaktorer!$B$10+L11*Emissionsfaktorer!$B$11+M11*Emissionsfaktorer!$B$12)</f>
        <v>0</v>
      </c>
    </row>
    <row r="12" spans="1:34" x14ac:dyDescent="0.35">
      <c r="C12" s="26"/>
      <c r="D12" s="26">
        <f>-X12/T12*' KF Asia excluding China'!I130</f>
        <v>-19753.552185038123</v>
      </c>
      <c r="E12" s="25"/>
      <c r="F12" s="26"/>
      <c r="G12" s="26"/>
      <c r="H12" s="26"/>
      <c r="I12" s="26"/>
      <c r="J12" s="27">
        <f>-X12/T12*' KF Asia excluding China'!I131</f>
        <v>0</v>
      </c>
      <c r="K12" s="25"/>
      <c r="L12" s="25"/>
      <c r="M12" s="25"/>
      <c r="N12" s="23">
        <f t="shared" si="0"/>
        <v>-19753.552185038123</v>
      </c>
      <c r="O12" s="6" t="s">
        <v>70</v>
      </c>
      <c r="P12" s="64" t="s">
        <v>71</v>
      </c>
      <c r="Q12" s="69" t="s">
        <v>63</v>
      </c>
      <c r="R12" s="69"/>
      <c r="S12" s="24">
        <f t="shared" si="1"/>
        <v>19414.766871537755</v>
      </c>
      <c r="T12" s="37">
        <f>' KF Asia excluding China'!I107</f>
        <v>0.98284939790439452</v>
      </c>
      <c r="U12" s="61"/>
      <c r="V12" s="28"/>
      <c r="W12" s="28"/>
      <c r="X12" s="28">
        <f>-(E9+E10+E11+E13+E14)</f>
        <v>19414.766871537755</v>
      </c>
      <c r="Y12" s="28"/>
      <c r="Z12" s="28"/>
      <c r="AA12" s="28"/>
      <c r="AB12" s="28"/>
      <c r="AC12" s="28"/>
      <c r="AD12" s="28"/>
      <c r="AE12" s="28"/>
      <c r="AF12" s="28"/>
      <c r="AG12" s="29">
        <f>-(S12+N12)</f>
        <v>338.78531350036792</v>
      </c>
      <c r="AH12" s="29">
        <f>J12*Emissionsfaktorer!B4</f>
        <v>0</v>
      </c>
    </row>
    <row r="13" spans="1:34" x14ac:dyDescent="0.35">
      <c r="C13" s="28">
        <f>N13*' KF Asia excluding China'!I79</f>
        <v>-122.43372799999999</v>
      </c>
      <c r="D13" s="28">
        <f>N13*' KF Asia excluding China'!I81</f>
        <v>-11.891648</v>
      </c>
      <c r="E13" s="28">
        <f>N13*' KF Asia excluding China'!I82</f>
        <v>-1046.967488</v>
      </c>
      <c r="F13" s="28">
        <f>N13*' KF Asia excluding China'!I80</f>
        <v>-1246.6550560000001</v>
      </c>
      <c r="G13" s="28"/>
      <c r="H13" s="28"/>
      <c r="I13" s="28"/>
      <c r="J13" s="36">
        <f>N13*' KF Asia excluding China'!I83</f>
        <v>-0.71182400000000001</v>
      </c>
      <c r="K13" s="28">
        <f>N13*' KF Asia excluding China'!I77</f>
        <v>-620.75239999999997</v>
      </c>
      <c r="L13" s="28">
        <f>N13*' KF Asia excluding China'!I78</f>
        <v>-23.867039999999999</v>
      </c>
      <c r="M13" s="25"/>
      <c r="N13" s="23">
        <f>N16*' KF Asia excluding China'!I75</f>
        <v>-3073.279184</v>
      </c>
      <c r="O13" s="6" t="s">
        <v>72</v>
      </c>
      <c r="P13" s="64" t="s">
        <v>73</v>
      </c>
      <c r="Q13" s="69" t="s">
        <v>63</v>
      </c>
      <c r="R13" s="69"/>
      <c r="S13" s="24">
        <f t="shared" si="1"/>
        <v>0</v>
      </c>
      <c r="T13" s="37">
        <v>0</v>
      </c>
      <c r="U13" s="61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9">
        <f>-(S13+N13)</f>
        <v>3073.279184</v>
      </c>
      <c r="AH13" s="29">
        <f>-(C13*Emissionsfaktorer!$B$2+D13*Emissionsfaktorer!$B$3+E13*Emissionsfaktorer!$B$4+F13*Emissionsfaktorer!$B$5+G13*Emissionsfaktorer!$B$6+H13*Emissionsfaktorer!$B$7+I13*Emissionsfaktorer!$B$8+J13*Emissionsfaktorer!$B$9+K13*Emissionsfaktorer!$B$10+L13*Emissionsfaktorer!$B$11+M13*Emissionsfaktorer!$B$12)</f>
        <v>162.26007143999999</v>
      </c>
    </row>
    <row r="14" spans="1:34" x14ac:dyDescent="0.35">
      <c r="C14" s="15"/>
      <c r="D14" s="15"/>
      <c r="E14" s="16">
        <f>-X14*1</f>
        <v>-17283.712440519572</v>
      </c>
      <c r="F14" s="15"/>
      <c r="G14" s="15"/>
      <c r="H14" s="15"/>
      <c r="I14" s="15"/>
      <c r="J14" s="20"/>
      <c r="K14" s="16">
        <f>-AD14*(1+' KF Asia excluding China'!I72)</f>
        <v>-11005.919586848295</v>
      </c>
      <c r="L14" s="16">
        <f>-AE14*(1+' KF Asia excluding China'!I73)</f>
        <v>-122.55802823584212</v>
      </c>
      <c r="M14" s="16"/>
      <c r="N14" s="23">
        <f t="shared" si="0"/>
        <v>-28412.190055603707</v>
      </c>
      <c r="O14" s="22" t="s">
        <v>74</v>
      </c>
      <c r="P14" s="66" t="s">
        <v>75</v>
      </c>
      <c r="Q14" s="70"/>
      <c r="R14" s="70"/>
      <c r="S14" s="24">
        <f t="shared" si="1"/>
        <v>26979.111989533969</v>
      </c>
      <c r="T14" s="37"/>
      <c r="U14" s="61"/>
      <c r="V14" s="16"/>
      <c r="W14" s="16"/>
      <c r="X14" s="16">
        <f>-E16</f>
        <v>17283.712440519572</v>
      </c>
      <c r="Y14" s="16"/>
      <c r="Z14" s="16"/>
      <c r="AA14" s="16"/>
      <c r="AB14" s="16"/>
      <c r="AC14" s="16"/>
      <c r="AD14" s="16">
        <f>-K16</f>
        <v>9574.8925260325013</v>
      </c>
      <c r="AE14" s="16">
        <f>-L16</f>
        <v>120.50702298189529</v>
      </c>
      <c r="AF14" s="16"/>
      <c r="AG14" s="21">
        <f>-(N14+S14)</f>
        <v>1433.0780660697383</v>
      </c>
      <c r="AH14" s="21"/>
    </row>
    <row r="15" spans="1:34" x14ac:dyDescent="0.35"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23">
        <f t="shared" si="0"/>
        <v>0</v>
      </c>
      <c r="O15" s="22" t="s">
        <v>76</v>
      </c>
      <c r="P15" s="67" t="s">
        <v>77</v>
      </c>
      <c r="Q15" s="66"/>
      <c r="R15" s="66"/>
      <c r="S15" s="24">
        <f t="shared" si="1"/>
        <v>46.393926003669165</v>
      </c>
      <c r="T15" s="37"/>
      <c r="U15" s="61"/>
      <c r="V15" s="14"/>
      <c r="W15" s="14"/>
      <c r="X15" s="14"/>
      <c r="Y15" s="14"/>
      <c r="Z15" s="14"/>
      <c r="AA15" s="14"/>
      <c r="AB15" s="14">
        <f>I16*-1</f>
        <v>46.393926003669165</v>
      </c>
      <c r="AC15" s="14"/>
      <c r="AD15" s="14"/>
      <c r="AE15" s="14"/>
      <c r="AF15" s="14"/>
      <c r="AG15" s="14"/>
      <c r="AH15" s="14"/>
    </row>
    <row r="16" spans="1:34" x14ac:dyDescent="0.35">
      <c r="C16" s="14">
        <f t="shared" ref="C16:M16" si="4">SUM(C17:C19)</f>
        <v>-7000.2934890808829</v>
      </c>
      <c r="D16" s="14">
        <f t="shared" si="4"/>
        <v>0</v>
      </c>
      <c r="E16" s="14">
        <f t="shared" si="4"/>
        <v>-17283.712440519572</v>
      </c>
      <c r="F16" s="14">
        <f t="shared" si="4"/>
        <v>-3013.8482893560226</v>
      </c>
      <c r="G16" s="14">
        <f t="shared" si="4"/>
        <v>0</v>
      </c>
      <c r="H16" s="14">
        <f t="shared" si="4"/>
        <v>0</v>
      </c>
      <c r="I16" s="14">
        <f t="shared" si="4"/>
        <v>-46.393926003669165</v>
      </c>
      <c r="J16" s="14">
        <f t="shared" si="4"/>
        <v>-12235.13629088032</v>
      </c>
      <c r="K16" s="14">
        <f t="shared" si="4"/>
        <v>-9574.8925260325013</v>
      </c>
      <c r="L16" s="14">
        <f t="shared" si="4"/>
        <v>-120.50702298189529</v>
      </c>
      <c r="M16" s="14">
        <f t="shared" si="4"/>
        <v>0</v>
      </c>
      <c r="N16" s="23">
        <f>' KF Asia excluding China'!I5</f>
        <v>-49275.053344</v>
      </c>
      <c r="O16" s="10" t="s">
        <v>78</v>
      </c>
      <c r="P16" s="71" t="s">
        <v>79</v>
      </c>
      <c r="Q16" s="71"/>
      <c r="R16" s="71"/>
      <c r="S16" s="24">
        <f t="shared" si="1"/>
        <v>34547.64386341002</v>
      </c>
      <c r="T16" s="37"/>
      <c r="U16" s="61"/>
      <c r="V16" s="14"/>
      <c r="W16" s="14"/>
      <c r="X16" s="14"/>
      <c r="Y16" s="14"/>
      <c r="Z16" s="14"/>
      <c r="AA16" s="14"/>
      <c r="AB16" s="14"/>
      <c r="AC16" s="14"/>
      <c r="AD16" s="14"/>
      <c r="AE16" s="14"/>
      <c r="AF16" s="14">
        <f>SUM(AF17:AF19)</f>
        <v>34547.64386341002</v>
      </c>
      <c r="AG16" s="14">
        <f t="shared" ref="AG16:AH16" si="5">SUM(AG17:AG19)</f>
        <v>14727.140121444845</v>
      </c>
      <c r="AH16" s="14">
        <f t="shared" si="5"/>
        <v>2150.3793794354647</v>
      </c>
    </row>
    <row r="17" spans="3:34" x14ac:dyDescent="0.35">
      <c r="C17" s="25">
        <f>AF17*' KF Asia excluding China'!I15/T17*' KF Asia excluding China'!I139/' KF Asia excluding China'!I$139*-1</f>
        <v>-6321.8009109462973</v>
      </c>
      <c r="D17" s="25">
        <f>AF17*' KF Asia excluding China'!I16/T17*' KF Asia excluding China'!I139/' KF Asia excluding China'!I$139*-1</f>
        <v>0</v>
      </c>
      <c r="E17" s="25">
        <f>AF17*' KF Asia excluding China'!I17/T17*' KF Asia excluding China'!I139/' KF Asia excluding China'!I$139*-1</f>
        <v>-2639.5968302162837</v>
      </c>
      <c r="F17" s="25">
        <f>AF17*' KF Asia excluding China'!I18/T17*' KF Asia excluding China'!I139/' KF Asia excluding China'!I$139*-1</f>
        <v>-2017.1728631927267</v>
      </c>
      <c r="G17" s="25"/>
      <c r="H17" s="25"/>
      <c r="I17" s="25">
        <f>AF17*' KF Asia excluding China'!I19/T17*' KF Asia excluding China'!I142/' KF Asia excluding China'!I$142*-1</f>
        <v>-2.512306627743925</v>
      </c>
      <c r="J17" s="25">
        <f>AF17*' KF Asia excluding China'!I20*' KF Asia excluding China'!I139/T17/' KF Asia excluding China'!I$139*-1</f>
        <v>-2624.188016232788</v>
      </c>
      <c r="K17" s="25">
        <f>AF17*' KF Asia excluding China'!I21*' KF Asia excluding China'!I141/T17/' KF Asia excluding China'!I$141*-1</f>
        <v>-4183.0324069707649</v>
      </c>
      <c r="L17" s="25">
        <f>AF17*' KF Asia excluding China'!I22*' KF Asia excluding China'!I142/T17/' KF Asia excluding China'!I$142*-1</f>
        <v>-88.09821907955363</v>
      </c>
      <c r="M17" s="25"/>
      <c r="N17" s="23">
        <f>SUM(C17:L17)</f>
        <v>-17876.401553266161</v>
      </c>
      <c r="O17" s="6" t="s">
        <v>80</v>
      </c>
      <c r="P17" s="64" t="s">
        <v>81</v>
      </c>
      <c r="Q17" s="69" t="s">
        <v>79</v>
      </c>
      <c r="R17" s="69"/>
      <c r="S17" s="24">
        <f t="shared" si="1"/>
        <v>14946.698208799999</v>
      </c>
      <c r="T17" s="37">
        <f>(' KF Asia excluding China'!I15+' KF Asia excluding China'!I16+' KF Asia excluding China'!I17+' KF Asia excluding China'!I18+' KF Asia excluding China'!I20)*' KF Asia excluding China'!I139+(' KF Asia excluding China'!I19+' KF Asia excluding China'!I22)*' KF Asia excluding China'!I142+' KF Asia excluding China'!I21*' KF Asia excluding China'!I141</f>
        <v>0.83611336231531008</v>
      </c>
      <c r="U17" s="61"/>
      <c r="V17" s="25"/>
      <c r="W17" s="25"/>
      <c r="X17" s="25"/>
      <c r="Y17" s="25"/>
      <c r="Z17" s="25"/>
      <c r="AA17" s="25"/>
      <c r="AB17" s="25"/>
      <c r="AC17" s="25"/>
      <c r="AD17" s="25"/>
      <c r="AE17" s="25"/>
      <c r="AF17" s="25">
        <f>' KF Asia excluding China'!I5*' KF Asia excluding China'!I7*((' KF Asia excluding China'!G15+' KF Asia excluding China'!G16+' KF Asia excluding China'!G17+' KF Asia excluding China'!G18+' KF Asia excluding China'!G20)*' KF Asia excluding China'!G139+(' KF Asia excluding China'!G19+' KF Asia excluding China'!G22)*' KF Asia excluding China'!G142+' KF Asia excluding China'!G21*' KF Asia excluding China'!G141)*-1</f>
        <v>14946.698208799999</v>
      </c>
      <c r="AG17" s="25">
        <f>(S17+SUM(C17:M17))*-1</f>
        <v>2929.7033444661629</v>
      </c>
      <c r="AH17" s="29">
        <f>-(C17*Emissionsfaktorer!$B$2+D17*Emissionsfaktorer!$B$3+E17*Emissionsfaktorer!$B$4+F17*Emissionsfaktorer!$B$5+G17*Emissionsfaktorer!$B$6+H17*Emissionsfaktorer!$B$7+I17*Emissionsfaktorer!$B$8+J17*Emissionsfaktorer!$B$9+K17*Emissionsfaktorer!$B$10+L17*Emissionsfaktorer!$B$11+M17*Emissionsfaktorer!$B$12)</f>
        <v>916.15929883832121</v>
      </c>
    </row>
    <row r="18" spans="3:34" x14ac:dyDescent="0.35">
      <c r="C18" s="25">
        <f>AF18*' KF Asia excluding China'!I24/T18*' KF Asia excluding China'!I140/' KF Asia excluding China'!I$140*-1</f>
        <v>-0.58620799999999995</v>
      </c>
      <c r="D18" s="25"/>
      <c r="E18" s="25">
        <f>AF18*' KF Asia excluding China'!I25/T18*' KF Asia excluding China'!I140/' KF Asia excluding China'!I$140*-1</f>
        <v>-11192.259984</v>
      </c>
      <c r="F18" s="25">
        <f>AF18*' KF Asia excluding China'!I26/T18*' KF Asia excluding China'!I140/' KF Asia excluding China'!I$140*-1</f>
        <v>-339.875024</v>
      </c>
      <c r="G18" s="25"/>
      <c r="H18" s="25"/>
      <c r="I18" s="25">
        <f>AF18*' KF Asia excluding China'!I27/T18*' KF Asia excluding China'!I142/' KF Asia excluding China'!I$142*-1</f>
        <v>0</v>
      </c>
      <c r="J18" s="25">
        <f>AF18*' KF Asia excluding China'!I28/T18*' KF Asia excluding China'!I140/' KF Asia excluding China'!I$140*-1</f>
        <v>-274.93155199999995</v>
      </c>
      <c r="K18" s="25">
        <f>AF18*' KF Asia excluding China'!I29/T18*' KF Asia excluding China'!I141/' KF Asia excluding China'!I$141*-1</f>
        <v>-85.251391999999981</v>
      </c>
      <c r="L18" s="25">
        <f>AF18*' KF Asia excluding China'!I30/T18*' KF Asia excluding China'!I142/' KF Asia excluding China'!I$142*-1</f>
        <v>0</v>
      </c>
      <c r="M18" s="25"/>
      <c r="N18" s="23">
        <f>SUM(C18:L18)</f>
        <v>-11892.904160000002</v>
      </c>
      <c r="O18" s="6" t="s">
        <v>82</v>
      </c>
      <c r="P18" s="64" t="s">
        <v>83</v>
      </c>
      <c r="Q18" s="69" t="s">
        <v>79</v>
      </c>
      <c r="R18" s="69"/>
      <c r="S18" s="24">
        <f t="shared" si="1"/>
        <v>3623.2846527999995</v>
      </c>
      <c r="T18" s="37">
        <f>(' KF Asia excluding China'!I24+' KF Asia excluding China'!I25+' KF Asia excluding China'!I26+' KF Asia excluding China'!I28)*' KF Asia excluding China'!I140+(' KF Asia excluding China'!I27+' KF Asia excluding China'!I30)*' KF Asia excluding China'!I142+' KF Asia excluding China'!I29*' KF Asia excluding China'!I141</f>
        <v>0.304659366968278</v>
      </c>
      <c r="U18" s="61"/>
      <c r="V18" s="25"/>
      <c r="W18" s="25"/>
      <c r="X18" s="25"/>
      <c r="Y18" s="25"/>
      <c r="Z18" s="25"/>
      <c r="AA18" s="25"/>
      <c r="AB18" s="25"/>
      <c r="AC18" s="25"/>
      <c r="AD18" s="25"/>
      <c r="AE18" s="25"/>
      <c r="AF18" s="25">
        <f>' KF Asia excluding China'!I5*' KF Asia excluding China'!I8*-1*((' KF Asia excluding China'!G24+' KF Asia excluding China'!G25+' KF Asia excluding China'!G26+' KF Asia excluding China'!G28)*' KF Asia excluding China'!G140+(' KF Asia excluding China'!G27+' KF Asia excluding China'!G30)*' KF Asia excluding China'!G142+' KF Asia excluding China'!G29*' KF Asia excluding China'!G141)</f>
        <v>3623.2846527999995</v>
      </c>
      <c r="AG18" s="25">
        <f>(S18+SUM(C18:M18))*-1</f>
        <v>8269.6195072000028</v>
      </c>
      <c r="AH18" s="29">
        <f>-(C18*Emissionsfaktorer!$B$2+D18*Emissionsfaktorer!$B$3+E18*Emissionsfaktorer!$B$4+F18*Emissionsfaktorer!$B$5+G18*Emissionsfaktorer!$B$6+H18*Emissionsfaktorer!$B$7+I18*Emissionsfaktorer!$B$8+J18*Emissionsfaktorer!$B$9+K18*Emissionsfaktorer!$B$10+L18*Emissionsfaktorer!$B$11+M18*Emissionsfaktorer!$B$12)</f>
        <v>870.04032491199996</v>
      </c>
    </row>
    <row r="19" spans="3:34" x14ac:dyDescent="0.35">
      <c r="C19" s="25">
        <f>SUM(C20:C24)</f>
        <v>-677.90637013458536</v>
      </c>
      <c r="D19" s="25">
        <f t="shared" ref="D19:M19" si="6">SUM(D20:D24)</f>
        <v>0</v>
      </c>
      <c r="E19" s="25">
        <f t="shared" si="6"/>
        <v>-3451.855626303287</v>
      </c>
      <c r="F19" s="25">
        <f t="shared" si="6"/>
        <v>-656.80040216329598</v>
      </c>
      <c r="G19" s="25">
        <f t="shared" si="6"/>
        <v>0</v>
      </c>
      <c r="H19" s="25">
        <f t="shared" si="6"/>
        <v>0</v>
      </c>
      <c r="I19" s="25">
        <f t="shared" si="6"/>
        <v>-43.88161937592524</v>
      </c>
      <c r="J19" s="25">
        <f t="shared" si="6"/>
        <v>-9336.0167226475314</v>
      </c>
      <c r="K19" s="25">
        <f t="shared" si="6"/>
        <v>-5306.6087270617354</v>
      </c>
      <c r="L19" s="25">
        <f t="shared" si="6"/>
        <v>-32.408803902341667</v>
      </c>
      <c r="M19" s="25">
        <f t="shared" si="6"/>
        <v>0</v>
      </c>
      <c r="N19" s="23">
        <f>SUM(N20:N24)</f>
        <v>-19505.478271588701</v>
      </c>
      <c r="O19" s="6" t="s">
        <v>84</v>
      </c>
      <c r="P19" s="64" t="s">
        <v>85</v>
      </c>
      <c r="Q19" s="69" t="s">
        <v>79</v>
      </c>
      <c r="R19" s="69"/>
      <c r="S19" s="24">
        <f t="shared" si="1"/>
        <v>15977.661001810022</v>
      </c>
      <c r="T19" s="37">
        <v>0.8</v>
      </c>
      <c r="U19" s="61"/>
      <c r="V19" s="25">
        <f>SUM(V20:V24)</f>
        <v>0</v>
      </c>
      <c r="W19" s="25">
        <f t="shared" ref="W19:AH19" si="7">SUM(W20:W24)</f>
        <v>0</v>
      </c>
      <c r="X19" s="25">
        <f t="shared" si="7"/>
        <v>0</v>
      </c>
      <c r="Y19" s="25">
        <f t="shared" si="7"/>
        <v>0</v>
      </c>
      <c r="Z19" s="25">
        <f t="shared" si="7"/>
        <v>0</v>
      </c>
      <c r="AA19" s="25">
        <f t="shared" si="7"/>
        <v>0</v>
      </c>
      <c r="AB19" s="25">
        <f t="shared" si="7"/>
        <v>0</v>
      </c>
      <c r="AC19" s="25">
        <f t="shared" si="7"/>
        <v>0</v>
      </c>
      <c r="AD19" s="25">
        <f t="shared" si="7"/>
        <v>0</v>
      </c>
      <c r="AE19" s="25">
        <f t="shared" si="7"/>
        <v>0</v>
      </c>
      <c r="AF19" s="25">
        <f t="shared" si="7"/>
        <v>15977.661001810022</v>
      </c>
      <c r="AG19" s="25">
        <f t="shared" si="7"/>
        <v>3527.8172697786804</v>
      </c>
      <c r="AH19" s="25">
        <f t="shared" si="7"/>
        <v>364.17975568514328</v>
      </c>
    </row>
    <row r="20" spans="3:34" x14ac:dyDescent="0.35">
      <c r="C20" s="92">
        <f>AF20*' KF Asia excluding China'!I$32/T20*' KF Asia excluding China'!I$139/' KF Asia excluding China'!I$139*-1</f>
        <v>-200.98433095468286</v>
      </c>
      <c r="D20" s="92"/>
      <c r="E20" s="92">
        <f>AF20*' KF Asia excluding China'!I33/T20*' KF Asia excluding China'!I$140/' KF Asia excluding China'!I$140*-1</f>
        <v>-1845.9573363475311</v>
      </c>
      <c r="F20" s="92">
        <f>AF20*' KF Asia excluding China'!I$34/T20*' KF Asia excluding China'!I$140/' KF Asia excluding China'!I$140*-1</f>
        <v>-505.72682276472074</v>
      </c>
      <c r="G20" s="92"/>
      <c r="H20" s="92"/>
      <c r="I20" s="92">
        <f>AF20*' KF Asia excluding China'!I$35/T20*' KF Asia excluding China'!I$142/' KF Asia excluding China'!I$142*-1</f>
        <v>-37.47520337592524</v>
      </c>
      <c r="J20" s="92">
        <f>AF20*' KF Asia excluding China'!I$36/T20*' KF Asia excluding China'!I$140/' KF Asia excluding China'!I$140*-1</f>
        <v>-8939.1549648300606</v>
      </c>
      <c r="K20" s="92">
        <f>AF20*' KF Asia excluding China'!I$37/T20*' KF Asia excluding China'!I$141/' KF Asia excluding China'!I$141*-1</f>
        <v>-2683.8107660148648</v>
      </c>
      <c r="L20" s="92">
        <f>AF20*' KF Asia excluding China'!I$38/T20*' KF Asia excluding China'!I$142/' KF Asia excluding China'!I$142*-1</f>
        <v>-17.167411602379161</v>
      </c>
      <c r="M20" s="92"/>
      <c r="N20" s="23">
        <f>SUM(C20:L20)</f>
        <v>-14230.276835890165</v>
      </c>
      <c r="O20" s="84" t="s">
        <v>86</v>
      </c>
      <c r="P20" s="85" t="s">
        <v>87</v>
      </c>
      <c r="Q20" s="86" t="s">
        <v>85</v>
      </c>
      <c r="R20" s="86"/>
      <c r="S20" s="24">
        <f t="shared" si="1"/>
        <v>11797.721606610023</v>
      </c>
      <c r="T20" s="37">
        <f>(' KF Asia excluding China'!I32+' KF Asia excluding China'!I33+' KF Asia excluding China'!I34+' KF Asia excluding China'!I36)*' KF Asia excluding China'!I139+(' KF Asia excluding China'!I35+' KF Asia excluding China'!I38)*' KF Asia excluding China'!I142+' KF Asia excluding China'!I37*' KF Asia excluding China'!I141</f>
        <v>0.82905777186674279</v>
      </c>
      <c r="U20" s="61"/>
      <c r="V20" s="92"/>
      <c r="W20" s="92"/>
      <c r="X20" s="92"/>
      <c r="Y20" s="92"/>
      <c r="Z20" s="92"/>
      <c r="AA20" s="92"/>
      <c r="AB20" s="92"/>
      <c r="AC20" s="92"/>
      <c r="AD20" s="92"/>
      <c r="AE20" s="92"/>
      <c r="AF20" s="92">
        <f>' KF Asia excluding China'!I5*' KF Asia excluding China'!I9*((' KF Asia excluding China'!G32+' KF Asia excluding China'!G33+' KF Asia excluding China'!G34+' KF Asia excluding China'!G36)*' KF Asia excluding China'!G139+(' KF Asia excluding China'!G35+' KF Asia excluding China'!G38)*' KF Asia excluding China'!G142+' KF Asia excluding China'!G37*' KF Asia excluding China'!G141)*-1</f>
        <v>11797.721606610023</v>
      </c>
      <c r="AG20" s="92">
        <f>(N20+AF20)*-1</f>
        <v>2432.5552292801422</v>
      </c>
      <c r="AH20" s="87">
        <f>-(C20*Emissionsfaktorer!$B$2+D20*Emissionsfaktorer!$B$3+E20*Emissionsfaktorer!$B$4+F20*Emissionsfaktorer!$B$5+G20*Emissionsfaktorer!$B$6+H20*Emissionsfaktorer!$B$7+I20*Emissionsfaktorer!$B$8+J20*Emissionsfaktorer!$B$9+K20*Emissionsfaktorer!$B$10+L20*Emissionsfaktorer!$B$11+M20*Emissionsfaktorer!$B$12)</f>
        <v>188.2126979006963</v>
      </c>
    </row>
    <row r="21" spans="3:34" x14ac:dyDescent="0.35">
      <c r="C21" s="92">
        <f>AF21*' KF Asia excluding China'!I$40/T21*' KF Asia excluding China'!I$139/' KF Asia excluding China'!I$139*-1</f>
        <v>-222.71716800000002</v>
      </c>
      <c r="D21" s="92"/>
      <c r="E21" s="92">
        <f>AF21*' KF Asia excluding China'!I41/T21*' KF Asia excluding China'!I$140/' KF Asia excluding China'!I$140*-1</f>
        <v>-456.69790400000005</v>
      </c>
      <c r="F21" s="92">
        <f>AF21*' KF Asia excluding China'!I$42/T21*' KF Asia excluding China'!I$140/' KF Asia excluding China'!I$140*-1</f>
        <v>-140.983024</v>
      </c>
      <c r="G21" s="92"/>
      <c r="H21" s="92"/>
      <c r="I21" s="92">
        <f>AF21*' KF Asia excluding China'!I$43/T21*' KF Asia excluding China'!I$142/' KF Asia excluding China'!I$142*-1</f>
        <v>-4.3128160000000006</v>
      </c>
      <c r="J21" s="92">
        <f>AF21*' KF Asia excluding China'!I$44/T21*' KF Asia excluding China'!I$140/' KF Asia excluding China'!I$140*-1</f>
        <v>-349.63120000000004</v>
      </c>
      <c r="K21" s="92">
        <f>AF21*' KF Asia excluding China'!I$45/T21*' KF Asia excluding China'!I$141/' KF Asia excluding China'!I$141*-1</f>
        <v>-1451.4928800000005</v>
      </c>
      <c r="L21" s="92">
        <f>AF21*' KF Asia excluding China'!I$46/T21*' KF Asia excluding China'!I$142/' KF Asia excluding China'!I$142*-1</f>
        <v>-13.524656000000002</v>
      </c>
      <c r="M21" s="92"/>
      <c r="N21" s="23">
        <f t="shared" ref="N21:N24" si="8">SUM(C21:L21)</f>
        <v>-2639.3596480000006</v>
      </c>
      <c r="O21" s="84" t="s">
        <v>88</v>
      </c>
      <c r="P21" s="85" t="s">
        <v>89</v>
      </c>
      <c r="Q21" s="86" t="s">
        <v>85</v>
      </c>
      <c r="R21" s="86"/>
      <c r="S21" s="24">
        <f t="shared" si="1"/>
        <v>2332.7791448000003</v>
      </c>
      <c r="T21" s="37">
        <f>(' KF Asia excluding China'!I40+' KF Asia excluding China'!I41+' KF Asia excluding China'!I42+' KF Asia excluding China'!I44)*' KF Asia excluding China'!I139+(' KF Asia excluding China'!I43+' KF Asia excluding China'!I46)*' KF Asia excluding China'!I142+' KF Asia excluding China'!I45*' KF Asia excluding China'!I141</f>
        <v>0.88384284671764446</v>
      </c>
      <c r="U21" s="61"/>
      <c r="V21" s="92"/>
      <c r="W21" s="92"/>
      <c r="X21" s="92"/>
      <c r="Y21" s="92"/>
      <c r="Z21" s="92"/>
      <c r="AA21" s="92"/>
      <c r="AB21" s="92"/>
      <c r="AC21" s="92"/>
      <c r="AD21" s="92"/>
      <c r="AE21" s="92"/>
      <c r="AF21" s="92">
        <f>' KF Asia excluding China'!I5*' KF Asia excluding China'!I10*((' KF Asia excluding China'!G40+' KF Asia excluding China'!G41+' KF Asia excluding China'!G42+' KF Asia excluding China'!G44)*' KF Asia excluding China'!G139+(' KF Asia excluding China'!G43+' KF Asia excluding China'!G46)*' KF Asia excluding China'!G142+' KF Asia excluding China'!G45*' KF Asia excluding China'!G141)*-1</f>
        <v>2332.7791448000003</v>
      </c>
      <c r="AG21" s="92">
        <f t="shared" ref="AG21:AG24" si="9">(N21+AF21)*-1</f>
        <v>306.58050320000029</v>
      </c>
      <c r="AH21" s="87">
        <f>-(C21*Emissionsfaktorer!$B$2+D21*Emissionsfaktorer!$B$3+E21*Emissionsfaktorer!$B$4+F21*Emissionsfaktorer!$B$5+G21*Emissionsfaktorer!$B$6+H21*Emissionsfaktorer!$B$7+I21*Emissionsfaktorer!$B$8+J21*Emissionsfaktorer!$B$9+K21*Emissionsfaktorer!$B$10+L21*Emissionsfaktorer!$B$11+M21*Emissionsfaktorer!$B$12)</f>
        <v>63.903204032000005</v>
      </c>
    </row>
    <row r="22" spans="3:34" x14ac:dyDescent="0.35">
      <c r="C22" s="92">
        <f>AF22*' KF Asia excluding China'!I$48/T22*' KF Asia excluding China'!I$139/' KF Asia excluding China'!I$139*-1</f>
        <v>-0.5442951799025123</v>
      </c>
      <c r="D22" s="92"/>
      <c r="E22" s="92">
        <f>AF22*' KF Asia excluding China'!I49/T22*' KF Asia excluding China'!I$140/' KF Asia excluding China'!I$140*-1</f>
        <v>-805.34752195575572</v>
      </c>
      <c r="F22" s="92">
        <f>AF22*' KF Asia excluding China'!I$50/T22*' KF Asia excluding China'!I$140/' KF Asia excluding China'!I$140*-1</f>
        <v>-7.9550833985751792</v>
      </c>
      <c r="G22" s="92"/>
      <c r="H22" s="92"/>
      <c r="I22" s="92">
        <f>AF22*' KF Asia excluding China'!I$51/T22*' KF Asia excluding China'!I$142/' KF Asia excluding China'!I$142*-1</f>
        <v>0</v>
      </c>
      <c r="J22" s="92">
        <f>AF22*' KF Asia excluding China'!I$52/T22*' KF Asia excluding China'!I$140/' KF Asia excluding China'!I$140*-1</f>
        <v>-14.109805817472818</v>
      </c>
      <c r="K22" s="92">
        <f>AF22*' KF Asia excluding China'!I$53/T22*' KF Asia excluding China'!I$141/' KF Asia excluding China'!I$141*-1</f>
        <v>-854.96212104686924</v>
      </c>
      <c r="L22" s="92">
        <f>AF22*' KF Asia excluding China'!I$54/T22*' KF Asia excluding China'!I$142/' KF Asia excluding China'!I$142*-1</f>
        <v>-0.2093442999625047</v>
      </c>
      <c r="M22" s="92"/>
      <c r="N22" s="23">
        <f t="shared" si="8"/>
        <v>-1683.1281716985382</v>
      </c>
      <c r="O22" s="84" t="s">
        <v>90</v>
      </c>
      <c r="P22" s="85" t="s">
        <v>91</v>
      </c>
      <c r="Q22" s="86" t="s">
        <v>85</v>
      </c>
      <c r="R22" s="86"/>
      <c r="S22" s="24">
        <f t="shared" si="1"/>
        <v>1060.8103712</v>
      </c>
      <c r="T22" s="37">
        <f>(' KF Asia excluding China'!I48+' KF Asia excluding China'!I49+' KF Asia excluding China'!I50+' KF Asia excluding China'!I52)*' KF Asia excluding China'!I140+(' KF Asia excluding China'!I51+' KF Asia excluding China'!I54)*' KF Asia excluding China'!I142+' KF Asia excluding China'!I53*' KF Asia excluding China'!I141</f>
        <v>0.63026119402985059</v>
      </c>
      <c r="U22" s="61"/>
      <c r="V22" s="92"/>
      <c r="W22" s="92"/>
      <c r="X22" s="92"/>
      <c r="Y22" s="92"/>
      <c r="Z22" s="92"/>
      <c r="AA22" s="92"/>
      <c r="AB22" s="92"/>
      <c r="AC22" s="92"/>
      <c r="AD22" s="92"/>
      <c r="AE22" s="92"/>
      <c r="AF22" s="92">
        <f>((' KF Asia excluding China'!G48+' KF Asia excluding China'!G49+' KF Asia excluding China'!G50+' KF Asia excluding China'!G52)*' KF Asia excluding China'!G140+(' KF Asia excluding China'!G51+' KF Asia excluding China'!G54)*' KF Asia excluding China'!G142+' KF Asia excluding China'!G53*' KF Asia excluding China'!G141)*' KF Asia excluding China'!I11*' KF Asia excluding China'!I5*-1</f>
        <v>1060.8103712</v>
      </c>
      <c r="AG22" s="92">
        <f t="shared" si="9"/>
        <v>622.31780049853819</v>
      </c>
      <c r="AH22" s="87">
        <f>-(C22*Emissionsfaktorer!$B$2+D22*Emissionsfaktorer!$B$3+E22*Emissionsfaktorer!$B$4+F22*Emissionsfaktorer!$B$5+G22*Emissionsfaktorer!$B$6+H22*Emissionsfaktorer!$B$7+I22*Emissionsfaktorer!$B$8+J22*Emissionsfaktorer!$B$9+K22*Emissionsfaktorer!$B$10+L22*Emissionsfaktorer!$B$11+M22*Emissionsfaktorer!$B$12)</f>
        <v>61.711559464446957</v>
      </c>
    </row>
    <row r="23" spans="3:34" x14ac:dyDescent="0.35">
      <c r="C23" s="92">
        <f>AF23*' KF Asia excluding China'!I$56/T23*' KF Asia excluding China'!I$139/' KF Asia excluding China'!I$139*-1</f>
        <v>0</v>
      </c>
      <c r="D23" s="92"/>
      <c r="E23" s="92">
        <f>AF23*' KF Asia excluding China'!I57/T23*' KF Asia excluding China'!I$140/' KF Asia excluding China'!I$140*-1</f>
        <v>-47.859695999999985</v>
      </c>
      <c r="F23" s="92">
        <f>AF23*' KF Asia excluding China'!I$58/T23*' KF Asia excluding China'!I$140/' KF Asia excluding China'!I$140*-1</f>
        <v>0</v>
      </c>
      <c r="G23" s="92"/>
      <c r="H23" s="92"/>
      <c r="I23" s="92">
        <f>AF23*' KF Asia excluding China'!I$59/T23*' KF Asia excluding China'!I$142/' KF Asia excluding China'!I$142*-1</f>
        <v>0</v>
      </c>
      <c r="J23" s="92">
        <f>AF23*' KF Asia excluding China'!I$60/T23*' KF Asia excluding China'!I$140/' KF Asia excluding China'!I$140*-1</f>
        <v>-0.12561599999999998</v>
      </c>
      <c r="K23" s="92">
        <f>AF23*' KF Asia excluding China'!I$61/T23*' KF Asia excluding China'!I$141/' KF Asia excluding China'!I$141*-1</f>
        <v>-4.6896640000000032</v>
      </c>
      <c r="L23" s="92">
        <f>AF23*' KF Asia excluding China'!I$62/T23*' KF Asia excluding China'!I$142/' KF Asia excluding China'!I$142*-1</f>
        <v>0</v>
      </c>
      <c r="M23" s="92"/>
      <c r="N23" s="23">
        <f t="shared" si="8"/>
        <v>-52.674975999999987</v>
      </c>
      <c r="O23" s="84" t="s">
        <v>92</v>
      </c>
      <c r="P23" s="85" t="s">
        <v>93</v>
      </c>
      <c r="Q23" s="86" t="s">
        <v>85</v>
      </c>
      <c r="R23" s="86"/>
      <c r="S23" s="24">
        <f t="shared" si="1"/>
        <v>18.850774399999999</v>
      </c>
      <c r="T23" s="37">
        <f>(' KF Asia excluding China'!I56+' KF Asia excluding China'!I57+' KF Asia excluding China'!I58+' KF Asia excluding China'!I60)*' KF Asia excluding China'!I140+(' KF Asia excluding China'!I59+' KF Asia excluding China'!I62)*' KF Asia excluding China'!I142+' KF Asia excluding China'!I61*' KF Asia excluding China'!I141</f>
        <v>0.35786963434022262</v>
      </c>
      <c r="U23" s="61"/>
      <c r="V23" s="92"/>
      <c r="W23" s="92"/>
      <c r="X23" s="92"/>
      <c r="Y23" s="92"/>
      <c r="Z23" s="92"/>
      <c r="AA23" s="92"/>
      <c r="AB23" s="92"/>
      <c r="AC23" s="92"/>
      <c r="AD23" s="92"/>
      <c r="AE23" s="92"/>
      <c r="AF23" s="92">
        <f>((' KF Asia excluding China'!G56+' KF Asia excluding China'!G57+' KF Asia excluding China'!G58+' KF Asia excluding China'!G60)*' KF Asia excluding China'!G140+(' KF Asia excluding China'!G59+' KF Asia excluding China'!G62)*' KF Asia excluding China'!G142+' KF Asia excluding China'!G61*' KF Asia excluding China'!G141)*' KF Asia excluding China'!I5*' KF Asia excluding China'!I12*-1</f>
        <v>18.850774399999999</v>
      </c>
      <c r="AG23" s="92">
        <f t="shared" si="9"/>
        <v>33.824201599999988</v>
      </c>
      <c r="AH23" s="87">
        <f>-(C23*Emissionsfaktorer!$B$2+D23*Emissionsfaktorer!$B$3+E23*Emissionsfaktorer!$B$4+F23*Emissionsfaktorer!$B$5+G23*Emissionsfaktorer!$B$6+H23*Emissionsfaktorer!$B$7+I23*Emissionsfaktorer!$B$8+J23*Emissionsfaktorer!$B$9+K23*Emissionsfaktorer!$B$10+L23*Emissionsfaktorer!$B$11+M23*Emissionsfaktorer!$B$12)</f>
        <v>3.637336895999999</v>
      </c>
    </row>
    <row r="24" spans="3:34" x14ac:dyDescent="0.35">
      <c r="C24" s="92">
        <f>AF24*' KF Asia excluding China'!I$64/T24*' KF Asia excluding China'!I$139/' KF Asia excluding China'!I$139*-1</f>
        <v>-253.66057599999999</v>
      </c>
      <c r="D24" s="92"/>
      <c r="E24" s="92">
        <f>AF24*' KF Asia excluding China'!I65/T24*' KF Asia excluding China'!I$140/' KF Asia excluding China'!I$140*-1</f>
        <v>-295.99316799999997</v>
      </c>
      <c r="F24" s="92">
        <f>AF24*' KF Asia excluding China'!I$66/T24*' KF Asia excluding China'!I$140/' KF Asia excluding China'!I$140*-1</f>
        <v>-2.135472</v>
      </c>
      <c r="G24" s="92"/>
      <c r="H24" s="92"/>
      <c r="I24" s="92">
        <f>AF24*' KF Asia excluding China'!I$67/T24*' KF Asia excluding China'!I$142/' KF Asia excluding China'!I$142*-1</f>
        <v>-2.0935999999999999</v>
      </c>
      <c r="J24" s="92">
        <f>AF24*' KF Asia excluding China'!I$68/T24*' KF Asia excluding China'!I$140/' KF Asia excluding China'!I$140*-1</f>
        <v>-32.995135999999995</v>
      </c>
      <c r="K24" s="92">
        <f>AF24*' KF Asia excluding China'!I$69/T24*' KF Asia excluding China'!I$141/' KF Asia excluding China'!I$141*-1</f>
        <v>-311.65329600000001</v>
      </c>
      <c r="L24" s="92">
        <f>AF24*' KF Asia excluding China'!I$70/T24*' KF Asia excluding China'!I$142/' KF Asia excluding China'!I$142*-1</f>
        <v>-1.5073919999999998</v>
      </c>
      <c r="M24" s="92"/>
      <c r="N24" s="23">
        <f t="shared" si="8"/>
        <v>-900.03863999999999</v>
      </c>
      <c r="O24" s="84" t="s">
        <v>94</v>
      </c>
      <c r="P24" s="85" t="s">
        <v>95</v>
      </c>
      <c r="Q24" s="86" t="s">
        <v>85</v>
      </c>
      <c r="R24" s="86"/>
      <c r="S24" s="24">
        <f t="shared" si="1"/>
        <v>767.49910479999994</v>
      </c>
      <c r="T24" s="37">
        <f>(' KF Asia excluding China'!I64+' KF Asia excluding China'!I65+' KF Asia excluding China'!I66+' KF Asia excluding China'!I68)*' KF Asia excluding China'!I139+(' KF Asia excluding China'!I67+' KF Asia excluding China'!I70)*' KF Asia excluding China'!I142+' KF Asia excluding China'!I69*' KF Asia excluding China'!I141</f>
        <v>0.8527401721330542</v>
      </c>
      <c r="U24" s="61"/>
      <c r="V24" s="92"/>
      <c r="W24" s="92"/>
      <c r="X24" s="92"/>
      <c r="Y24" s="92"/>
      <c r="Z24" s="92"/>
      <c r="AA24" s="92"/>
      <c r="AB24" s="92"/>
      <c r="AC24" s="92"/>
      <c r="AD24" s="92"/>
      <c r="AE24" s="92"/>
      <c r="AF24" s="92">
        <f>((' KF Asia excluding China'!G64+' KF Asia excluding China'!G65+' KF Asia excluding China'!G66+' KF Asia excluding China'!G68)*' KF Asia excluding China'!G139+(' KF Asia excluding China'!G67+' KF Asia excluding China'!G70)*' KF Asia excluding China'!G142+' KF Asia excluding China'!G69*' KF Asia excluding China'!G141)*' KF Asia excluding China'!I5*' KF Asia excluding China'!I13*-1</f>
        <v>767.49910479999994</v>
      </c>
      <c r="AG24" s="92">
        <f t="shared" si="9"/>
        <v>132.53953520000005</v>
      </c>
      <c r="AH24" s="87">
        <f>-(C24*Emissionsfaktorer!$B$2+D24*Emissionsfaktorer!$B$3+E24*Emissionsfaktorer!$B$4+F24*Emissionsfaktorer!$B$5+G24*Emissionsfaktorer!$B$6+H24*Emissionsfaktorer!$B$7+I24*Emissionsfaktorer!$B$8+J24*Emissionsfaktorer!$B$9+K24*Emissionsfaktorer!$B$10+L24*Emissionsfaktorer!$B$11+M24*Emissionsfaktorer!$B$12)</f>
        <v>46.714957391999995</v>
      </c>
    </row>
    <row r="25" spans="3:34" x14ac:dyDescent="0.35"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23">
        <f>N16</f>
        <v>-49275.053344</v>
      </c>
      <c r="O25" s="10" t="s">
        <v>11</v>
      </c>
      <c r="P25" s="71" t="s">
        <v>96</v>
      </c>
      <c r="Q25" s="71"/>
      <c r="R25" s="71"/>
      <c r="S25" s="24">
        <f t="shared" si="1"/>
        <v>34547.64386341002</v>
      </c>
      <c r="T25" s="37">
        <f>AF25/N25*-1</f>
        <v>0.70111834526540862</v>
      </c>
      <c r="U25" s="61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>
        <f>AF16</f>
        <v>34547.64386341002</v>
      </c>
      <c r="AG25" s="14">
        <f>-(S25+N25)</f>
        <v>14727.40948058998</v>
      </c>
      <c r="AH25" s="14"/>
    </row>
    <row r="28" spans="3:34" x14ac:dyDescent="0.35">
      <c r="X28" s="95"/>
    </row>
    <row r="29" spans="3:34" x14ac:dyDescent="0.35">
      <c r="X29" s="95"/>
    </row>
    <row r="30" spans="3:34" x14ac:dyDescent="0.35">
      <c r="X30" s="95"/>
    </row>
  </sheetData>
  <pageMargins left="0.7" right="0.7" top="0.75" bottom="0.75" header="0.3" footer="0.3"/>
  <pageSetup paperSize="9" orientation="portrait" horizontalDpi="4294967293" verticalDpi="4294967293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Ark25"/>
  <dimension ref="A1:AH31"/>
  <sheetViews>
    <sheetView topLeftCell="Q1" zoomScale="130" zoomScaleNormal="130" workbookViewId="0">
      <selection sqref="A1:AH27"/>
    </sheetView>
  </sheetViews>
  <sheetFormatPr defaultRowHeight="14.5" x14ac:dyDescent="0.35"/>
  <cols>
    <col min="3" max="3" width="16.453125" customWidth="1"/>
    <col min="4" max="4" width="12.81640625" customWidth="1"/>
    <col min="5" max="5" width="12.54296875" customWidth="1"/>
    <col min="6" max="6" width="16.54296875" customWidth="1"/>
    <col min="10" max="10" width="12.54296875" customWidth="1"/>
    <col min="11" max="11" width="11.54296875" customWidth="1"/>
    <col min="14" max="14" width="10.81640625" customWidth="1"/>
    <col min="15" max="15" width="51.54296875" customWidth="1"/>
    <col min="16" max="18" width="15.81640625" customWidth="1"/>
    <col min="19" max="19" width="12.81640625" customWidth="1"/>
    <col min="24" max="24" width="14.1796875" bestFit="1" customWidth="1"/>
    <col min="33" max="34" width="11.26953125" customWidth="1"/>
  </cols>
  <sheetData>
    <row r="1" spans="1:34" ht="140" x14ac:dyDescent="0.35">
      <c r="B1" s="44" t="s">
        <v>0</v>
      </c>
      <c r="C1" s="3" t="s">
        <v>1</v>
      </c>
      <c r="D1" s="8" t="s">
        <v>2</v>
      </c>
      <c r="E1" s="2" t="s">
        <v>3</v>
      </c>
      <c r="F1" s="3" t="s">
        <v>4</v>
      </c>
      <c r="G1" s="1" t="s">
        <v>5</v>
      </c>
      <c r="H1" s="1" t="s">
        <v>6</v>
      </c>
      <c r="I1" s="1" t="s">
        <v>7</v>
      </c>
      <c r="J1" s="3" t="s">
        <v>8</v>
      </c>
      <c r="K1" s="2" t="s">
        <v>9</v>
      </c>
      <c r="L1" s="2" t="s">
        <v>10</v>
      </c>
      <c r="M1" s="17" t="s">
        <v>11</v>
      </c>
      <c r="N1" s="5" t="s">
        <v>12</v>
      </c>
      <c r="O1" s="4" t="s">
        <v>259</v>
      </c>
      <c r="P1" s="60"/>
      <c r="Q1" s="60"/>
      <c r="R1" s="12" t="s">
        <v>14</v>
      </c>
      <c r="S1" s="11" t="s">
        <v>15</v>
      </c>
      <c r="T1" s="12" t="s">
        <v>16</v>
      </c>
      <c r="U1" s="44" t="s">
        <v>17</v>
      </c>
      <c r="V1" s="3" t="s">
        <v>1</v>
      </c>
      <c r="W1" s="8" t="s">
        <v>2</v>
      </c>
      <c r="X1" s="9" t="s">
        <v>3</v>
      </c>
      <c r="Y1" s="3" t="s">
        <v>4</v>
      </c>
      <c r="Z1" s="1" t="s">
        <v>5</v>
      </c>
      <c r="AA1" s="1" t="s">
        <v>6</v>
      </c>
      <c r="AB1" s="1" t="s">
        <v>7</v>
      </c>
      <c r="AC1" s="3" t="s">
        <v>8</v>
      </c>
      <c r="AD1" s="2" t="s">
        <v>9</v>
      </c>
      <c r="AE1" s="2" t="s">
        <v>10</v>
      </c>
      <c r="AF1" s="17" t="s">
        <v>11</v>
      </c>
      <c r="AG1" s="13" t="s">
        <v>18</v>
      </c>
      <c r="AH1" s="13" t="s">
        <v>19</v>
      </c>
    </row>
    <row r="2" spans="1:34" ht="24.75" customHeight="1" x14ac:dyDescent="0.35">
      <c r="A2" s="45" t="s">
        <v>20</v>
      </c>
      <c r="B2" s="46" t="s">
        <v>21</v>
      </c>
      <c r="C2" s="46" t="s">
        <v>22</v>
      </c>
      <c r="D2" s="46" t="s">
        <v>23</v>
      </c>
      <c r="E2" s="47" t="s">
        <v>24</v>
      </c>
      <c r="F2" s="46" t="s">
        <v>25</v>
      </c>
      <c r="G2" s="46" t="s">
        <v>26</v>
      </c>
      <c r="H2" s="46" t="s">
        <v>27</v>
      </c>
      <c r="I2" s="46" t="s">
        <v>28</v>
      </c>
      <c r="J2" s="48" t="s">
        <v>29</v>
      </c>
      <c r="K2" s="47" t="s">
        <v>30</v>
      </c>
      <c r="L2" s="49" t="s">
        <v>31</v>
      </c>
      <c r="M2" s="49" t="s">
        <v>32</v>
      </c>
      <c r="N2" s="50" t="s">
        <v>33</v>
      </c>
      <c r="O2" s="51"/>
      <c r="P2" s="52" t="s">
        <v>20</v>
      </c>
      <c r="Q2" s="53" t="s">
        <v>34</v>
      </c>
      <c r="R2" s="50" t="s">
        <v>35</v>
      </c>
      <c r="S2" s="54" t="s">
        <v>36</v>
      </c>
      <c r="T2" s="50" t="s">
        <v>37</v>
      </c>
      <c r="U2" s="46" t="s">
        <v>38</v>
      </c>
      <c r="V2" s="46" t="s">
        <v>39</v>
      </c>
      <c r="W2" s="46" t="s">
        <v>40</v>
      </c>
      <c r="X2" s="47" t="s">
        <v>41</v>
      </c>
      <c r="Y2" s="46" t="s">
        <v>42</v>
      </c>
      <c r="Z2" s="46" t="s">
        <v>43</v>
      </c>
      <c r="AA2" s="46" t="s">
        <v>44</v>
      </c>
      <c r="AB2" s="46" t="s">
        <v>45</v>
      </c>
      <c r="AC2" s="46" t="s">
        <v>46</v>
      </c>
      <c r="AD2" s="47" t="s">
        <v>47</v>
      </c>
      <c r="AE2" s="47" t="s">
        <v>48</v>
      </c>
      <c r="AF2" s="49" t="s">
        <v>49</v>
      </c>
      <c r="AG2" s="46" t="s">
        <v>50</v>
      </c>
      <c r="AH2" s="46" t="s">
        <v>51</v>
      </c>
    </row>
    <row r="3" spans="1:34" ht="24.75" customHeight="1" x14ac:dyDescent="0.35">
      <c r="A3" s="45" t="s">
        <v>34</v>
      </c>
      <c r="B3" s="55"/>
      <c r="C3" s="56" t="s">
        <v>52</v>
      </c>
      <c r="D3" s="56" t="s">
        <v>52</v>
      </c>
      <c r="E3" s="56" t="s">
        <v>21</v>
      </c>
      <c r="F3" s="56" t="s">
        <v>21</v>
      </c>
      <c r="G3" s="56" t="s">
        <v>21</v>
      </c>
      <c r="H3" s="56" t="s">
        <v>52</v>
      </c>
      <c r="I3" s="56" t="s">
        <v>52</v>
      </c>
      <c r="J3" s="56" t="s">
        <v>21</v>
      </c>
      <c r="K3" s="56" t="s">
        <v>21</v>
      </c>
      <c r="L3" s="57" t="s">
        <v>21</v>
      </c>
      <c r="M3" s="57" t="s">
        <v>21</v>
      </c>
      <c r="N3" s="50"/>
      <c r="O3" s="51" t="s">
        <v>53</v>
      </c>
      <c r="P3" s="52"/>
      <c r="Q3" s="53"/>
      <c r="R3" s="74"/>
      <c r="S3" s="58"/>
      <c r="T3" s="59"/>
      <c r="U3" s="55"/>
      <c r="V3" s="56" t="s">
        <v>38</v>
      </c>
      <c r="W3" s="56" t="s">
        <v>38</v>
      </c>
      <c r="X3" s="56" t="s">
        <v>38</v>
      </c>
      <c r="Y3" s="56" t="s">
        <v>38</v>
      </c>
      <c r="Z3" s="56" t="s">
        <v>38</v>
      </c>
      <c r="AA3" s="56" t="s">
        <v>38</v>
      </c>
      <c r="AB3" s="56" t="s">
        <v>54</v>
      </c>
      <c r="AC3" s="56" t="s">
        <v>38</v>
      </c>
      <c r="AD3" s="56" t="s">
        <v>38</v>
      </c>
      <c r="AE3" s="56" t="s">
        <v>38</v>
      </c>
      <c r="AF3" s="57" t="s">
        <v>38</v>
      </c>
      <c r="AG3" s="56"/>
      <c r="AH3" s="56"/>
    </row>
    <row r="4" spans="1:34" ht="24.75" customHeight="1" x14ac:dyDescent="0.35">
      <c r="A4" s="72" t="s">
        <v>55</v>
      </c>
      <c r="B4" s="72"/>
      <c r="C4" s="56"/>
      <c r="D4" s="56"/>
      <c r="E4" s="56"/>
      <c r="F4" s="56"/>
      <c r="G4" s="56"/>
      <c r="H4" s="56"/>
      <c r="I4" s="56"/>
      <c r="J4" s="56"/>
      <c r="K4" s="56"/>
      <c r="L4" s="57"/>
      <c r="M4" s="57"/>
      <c r="N4" s="50"/>
      <c r="O4" s="51"/>
      <c r="P4" s="73"/>
      <c r="Q4" s="53"/>
      <c r="R4" s="74"/>
      <c r="S4" s="58"/>
      <c r="T4" s="59"/>
      <c r="U4" s="55">
        <f>B4</f>
        <v>0</v>
      </c>
      <c r="V4" s="56"/>
      <c r="W4" s="56"/>
      <c r="X4" s="56"/>
      <c r="Y4" s="56"/>
      <c r="Z4" s="56"/>
      <c r="AA4" s="56"/>
      <c r="AB4" s="56"/>
      <c r="AC4" s="56"/>
      <c r="AD4" s="56"/>
      <c r="AE4" s="56"/>
      <c r="AF4" s="57"/>
      <c r="AG4" s="56">
        <f>U4</f>
        <v>0</v>
      </c>
      <c r="AH4" s="56">
        <f>U4</f>
        <v>0</v>
      </c>
    </row>
    <row r="5" spans="1:34" x14ac:dyDescent="0.35">
      <c r="C5" s="14"/>
      <c r="D5" s="14"/>
      <c r="E5" s="14"/>
      <c r="F5" s="14"/>
      <c r="G5" s="14"/>
      <c r="H5" s="14"/>
      <c r="I5" s="14"/>
      <c r="J5" s="14"/>
      <c r="K5" s="14"/>
      <c r="L5" s="14"/>
      <c r="M5" s="14"/>
      <c r="N5" s="23">
        <f>SUM(C5:M5)</f>
        <v>0</v>
      </c>
      <c r="O5" s="10" t="s">
        <v>56</v>
      </c>
      <c r="P5" s="62" t="s">
        <v>57</v>
      </c>
      <c r="Q5" s="63"/>
      <c r="R5" s="63"/>
      <c r="S5" s="24">
        <f>SUM(V5:AF5)</f>
        <v>69294.824451092529</v>
      </c>
      <c r="T5" s="37"/>
      <c r="U5" s="61"/>
      <c r="V5" s="14">
        <f>-(C6+C5)</f>
        <v>25234.619112306435</v>
      </c>
      <c r="W5" s="14">
        <f>-(D6+D5)</f>
        <v>19765.443833038124</v>
      </c>
      <c r="X5" s="14"/>
      <c r="Y5" s="14">
        <f>-(F6+F5)</f>
        <v>9442.2380715581821</v>
      </c>
      <c r="Z5" s="14">
        <f>-(G6+G5)</f>
        <v>824.41830406672057</v>
      </c>
      <c r="AA5" s="14"/>
      <c r="AB5" s="14"/>
      <c r="AC5" s="14">
        <f>-(J6+J5)</f>
        <v>14028.105130123067</v>
      </c>
      <c r="AD5" s="14"/>
      <c r="AE5" s="14"/>
      <c r="AF5" s="14"/>
      <c r="AG5" s="14"/>
      <c r="AH5" s="14"/>
    </row>
    <row r="6" spans="1:34" x14ac:dyDescent="0.35">
      <c r="C6" s="14">
        <f>-V6</f>
        <v>-25234.619112306435</v>
      </c>
      <c r="D6" s="14">
        <f>-W6</f>
        <v>-19765.443833038124</v>
      </c>
      <c r="E6" s="14"/>
      <c r="F6" s="14">
        <f>-Y6</f>
        <v>-9442.2380715581821</v>
      </c>
      <c r="G6" s="14">
        <f>-Z6</f>
        <v>-824.41830406672057</v>
      </c>
      <c r="H6" s="14"/>
      <c r="I6" s="14"/>
      <c r="J6" s="14">
        <f>-AC6</f>
        <v>-14028.105130123067</v>
      </c>
      <c r="K6" s="14"/>
      <c r="L6" s="18"/>
      <c r="M6" s="18"/>
      <c r="N6" s="23">
        <f t="shared" ref="N6:N15" si="0">SUM(C6:M6)</f>
        <v>-69294.824451092529</v>
      </c>
      <c r="O6" s="22" t="s">
        <v>58</v>
      </c>
      <c r="P6" s="65" t="s">
        <v>59</v>
      </c>
      <c r="Q6" s="66"/>
      <c r="R6" s="66"/>
      <c r="S6" s="24">
        <f t="shared" ref="S6:S25" si="1">SUM(V6:AF6)</f>
        <v>69294.824451092529</v>
      </c>
      <c r="T6" s="37"/>
      <c r="U6" s="61"/>
      <c r="V6" s="14">
        <f>-(C16+C8)</f>
        <v>25234.619112306435</v>
      </c>
      <c r="W6" s="14">
        <f>-(D16+D8)</f>
        <v>19765.443833038124</v>
      </c>
      <c r="X6" s="14"/>
      <c r="Y6" s="14">
        <f>-(F16+F8)</f>
        <v>9442.2380715581821</v>
      </c>
      <c r="Z6" s="14">
        <f>-(G16+G8)</f>
        <v>824.41830406672057</v>
      </c>
      <c r="AA6" s="14"/>
      <c r="AB6" s="14"/>
      <c r="AC6" s="14">
        <f>-(J16+J8)</f>
        <v>14028.105130123067</v>
      </c>
      <c r="AD6" s="14"/>
      <c r="AE6" s="14"/>
      <c r="AF6" s="14"/>
      <c r="AG6" s="21">
        <f>-(N6+S6)</f>
        <v>0</v>
      </c>
      <c r="AH6" s="21"/>
    </row>
    <row r="7" spans="1:34" x14ac:dyDescent="0.35"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23">
        <f t="shared" si="0"/>
        <v>0</v>
      </c>
      <c r="O7" s="22" t="s">
        <v>60</v>
      </c>
      <c r="P7" s="67" t="s">
        <v>61</v>
      </c>
      <c r="Q7" s="66"/>
      <c r="R7" s="66"/>
      <c r="S7" s="24">
        <f t="shared" si="1"/>
        <v>3323.6680127164846</v>
      </c>
      <c r="T7" s="37"/>
      <c r="U7" s="61"/>
      <c r="V7" s="14"/>
      <c r="W7" s="14"/>
      <c r="X7" s="14"/>
      <c r="Y7" s="14"/>
      <c r="Z7" s="16"/>
      <c r="AA7" s="19">
        <f>-H8</f>
        <v>1501.2828116198318</v>
      </c>
      <c r="AB7" s="19">
        <f>-I8</f>
        <v>1822.385201096653</v>
      </c>
      <c r="AC7" s="14"/>
      <c r="AD7" s="14"/>
      <c r="AE7" s="14"/>
      <c r="AF7" s="14"/>
      <c r="AG7" s="14"/>
      <c r="AH7" s="14"/>
    </row>
    <row r="8" spans="1:34" x14ac:dyDescent="0.35">
      <c r="C8" s="14">
        <f>SUM(C9:C13)</f>
        <v>-18234.325623225552</v>
      </c>
      <c r="D8" s="14">
        <f t="shared" ref="D8:M8" si="2">SUM(D9:D13)</f>
        <v>-19765.443833038124</v>
      </c>
      <c r="E8" s="14">
        <f t="shared" si="2"/>
        <v>-2131.054431018184</v>
      </c>
      <c r="F8" s="14">
        <f t="shared" si="2"/>
        <v>-6428.389782202159</v>
      </c>
      <c r="G8" s="14">
        <f t="shared" si="2"/>
        <v>-824.41830406672057</v>
      </c>
      <c r="H8" s="14">
        <f t="shared" si="2"/>
        <v>-1501.2828116198318</v>
      </c>
      <c r="I8" s="14">
        <f t="shared" si="2"/>
        <v>-1822.385201096653</v>
      </c>
      <c r="J8" s="14">
        <f t="shared" si="2"/>
        <v>-1792.9688392427474</v>
      </c>
      <c r="K8" s="14">
        <f t="shared" si="2"/>
        <v>-620.75239999999997</v>
      </c>
      <c r="L8" s="14">
        <f t="shared" si="2"/>
        <v>-23.867039999999999</v>
      </c>
      <c r="M8" s="14">
        <f t="shared" si="2"/>
        <v>0</v>
      </c>
      <c r="N8" s="23">
        <f t="shared" si="0"/>
        <v>-53144.888265509966</v>
      </c>
      <c r="O8" s="22" t="s">
        <v>62</v>
      </c>
      <c r="P8" s="67" t="s">
        <v>63</v>
      </c>
      <c r="Q8" s="66"/>
      <c r="R8" s="66"/>
      <c r="S8" s="24">
        <f t="shared" si="1"/>
        <v>31187.863926621892</v>
      </c>
      <c r="T8" s="37"/>
      <c r="U8" s="61"/>
      <c r="V8" s="14">
        <f>SUM(V9:V13)</f>
        <v>0</v>
      </c>
      <c r="W8" s="14"/>
      <c r="X8" s="14">
        <f>(E14+E8)*-1</f>
        <v>19414.766871537755</v>
      </c>
      <c r="Y8" s="14"/>
      <c r="Z8" s="14"/>
      <c r="AA8" s="14"/>
      <c r="AB8" s="14"/>
      <c r="AC8" s="14"/>
      <c r="AD8" s="14">
        <f>(K14+K8)*-1</f>
        <v>11626.671986848294</v>
      </c>
      <c r="AE8" s="14">
        <f>(L14+L8)*-1</f>
        <v>146.4250682358421</v>
      </c>
      <c r="AF8" s="14"/>
      <c r="AG8" s="21">
        <f>-(N8+S8)</f>
        <v>21957.024338888074</v>
      </c>
      <c r="AH8" s="21">
        <f>SUM(AH9:AH13)</f>
        <v>2260.6392885493324</v>
      </c>
    </row>
    <row r="9" spans="1:34" x14ac:dyDescent="0.35">
      <c r="C9" s="26">
        <f>-($AD$9+$H$9+$I$9)/$T$9*' KF Asia excluding China'!$H109</f>
        <v>-17624.805259451648</v>
      </c>
      <c r="D9" s="26">
        <f>-($AD$9+$H$9+$I$9)/$T$9*' KF Asia excluding China'!$H110</f>
        <v>0</v>
      </c>
      <c r="E9" s="26">
        <f>-($AD$9+$H$9+$I$9)/$T$9*' KF Asia excluding China'!$H111</f>
        <v>-1064.9951462084746</v>
      </c>
      <c r="F9" s="26">
        <f>-($AD$9+$H$9+$I$9)/$T$9*' KF Asia excluding China'!$H112</f>
        <v>-5173.1311267814735</v>
      </c>
      <c r="G9" s="26">
        <f>-($AD$9+$H$9+$I$9)/$T$9*' KF Asia excluding China'!$H113</f>
        <v>-824.41830406672057</v>
      </c>
      <c r="H9" s="26">
        <f>AD9*' KF Asia excluding China'!H94*-1</f>
        <v>-1501.2828116198318</v>
      </c>
      <c r="I9" s="26">
        <f>AD9*' KF Asia excluding China'!H95*-1</f>
        <v>-1822.385201096653</v>
      </c>
      <c r="J9" s="26">
        <f>-($AD$9+$H$9+$I$9)/$T$9*' KF Asia excluding China'!$H114</f>
        <v>-1747.1086030446786</v>
      </c>
      <c r="K9" s="25"/>
      <c r="L9" s="25"/>
      <c r="M9" s="25"/>
      <c r="N9" s="23">
        <f t="shared" si="0"/>
        <v>-29758.12645226948</v>
      </c>
      <c r="O9" s="6" t="s">
        <v>64</v>
      </c>
      <c r="P9" s="68" t="s">
        <v>65</v>
      </c>
      <c r="Q9" s="69" t="s">
        <v>63</v>
      </c>
      <c r="R9" s="69"/>
      <c r="S9" s="24">
        <f t="shared" si="1"/>
        <v>11460.62251802908</v>
      </c>
      <c r="T9" s="37">
        <f>' KF Asia excluding China'!H104</f>
        <v>0.30781619846380293</v>
      </c>
      <c r="U9" s="61"/>
      <c r="V9" s="28"/>
      <c r="W9" s="28"/>
      <c r="X9" s="28"/>
      <c r="Y9" s="28"/>
      <c r="Z9" s="28"/>
      <c r="AA9" s="28"/>
      <c r="AB9" s="28"/>
      <c r="AC9" s="28"/>
      <c r="AD9" s="28">
        <f>AD8-AD10</f>
        <v>11460.62251802908</v>
      </c>
      <c r="AE9" s="28"/>
      <c r="AF9" s="28"/>
      <c r="AG9" s="29">
        <f>-(S9+N9)</f>
        <v>18297.503934240398</v>
      </c>
      <c r="AH9" s="29">
        <f>-(C9*Emissionsfaktorer!$B$2*(1-' KF Asia excluding China'!H134)+D9*Emissionsfaktorer!$B$3+E9*Emissionsfaktorer!$B$4*(1-' KF Asia excluding China'!H135)+F9*Emissionsfaktorer!$B$5*(1-' KF Asia excluding China'!H136)+G9*Emissionsfaktorer!$B$6+H9*Emissionsfaktorer!$B$7+I9*Emissionsfaktorer!$B$8-J9*Emissionsfaktorer!B13*' KF Asia excluding China'!H137+K9*Emissionsfaktorer!$B$10+L9*Emissionsfaktorer!$B$11+M9*Emissionsfaktorer!$B$12)</f>
        <v>2050.1646049862948</v>
      </c>
    </row>
    <row r="10" spans="1:34" x14ac:dyDescent="0.35">
      <c r="C10" s="26">
        <f>-($AD$10+$AE$10+$H$10+$I$10)/$T$10*' KF Asia excluding China'!$H116</f>
        <v>-487.08663577390223</v>
      </c>
      <c r="D10" s="26">
        <f>-($AD$10+$AE$10+$H$10+$I$10)/$T$10*' KF Asia excluding China'!$H117</f>
        <v>0</v>
      </c>
      <c r="E10" s="26">
        <f>-($AD$10+$AE$10+$H$10+$I$10)/$T$10*' KF Asia excluding China'!$H118</f>
        <v>-19.091796809709685</v>
      </c>
      <c r="F10" s="26">
        <f>-($AD$10+$AE$10+$H$10+$I$10)/$T$10*' KF Asia excluding China'!$H119</f>
        <v>-8.6035994206846222</v>
      </c>
      <c r="G10" s="26">
        <f>-($AD$10+$AE$10+$H$10+$I$10)/$T$10*' KF Asia excluding China'!$H120</f>
        <v>0</v>
      </c>
      <c r="H10" s="26"/>
      <c r="I10" s="26">
        <f>(AD10+AE10)*' KF Asia excluding China'!H98*-1</f>
        <v>0</v>
      </c>
      <c r="J10" s="26">
        <f>-($AD$10+$AE$10+$H$10+$I$10)/$T$10*' KF Asia excluding China'!$H121</f>
        <v>-45.148412198068826</v>
      </c>
      <c r="K10" s="25"/>
      <c r="L10" s="25"/>
      <c r="M10" s="25"/>
      <c r="N10" s="23">
        <f t="shared" si="0"/>
        <v>-559.93044420236538</v>
      </c>
      <c r="O10" s="6" t="s">
        <v>66</v>
      </c>
      <c r="P10" s="68" t="s">
        <v>67</v>
      </c>
      <c r="Q10" s="69" t="s">
        <v>63</v>
      </c>
      <c r="R10" s="69"/>
      <c r="S10" s="24">
        <f t="shared" si="1"/>
        <v>312.47453705505535</v>
      </c>
      <c r="T10" s="37">
        <f>' KF Asia excluding China'!H105</f>
        <v>0.55805955952293851</v>
      </c>
      <c r="U10" s="61"/>
      <c r="V10" s="28"/>
      <c r="W10" s="28"/>
      <c r="X10" s="28"/>
      <c r="Y10" s="28"/>
      <c r="Z10" s="28"/>
      <c r="AA10" s="28"/>
      <c r="AB10" s="28"/>
      <c r="AC10" s="28"/>
      <c r="AD10" s="28">
        <f>AE10*' KF Asia excluding China'!H90</f>
        <v>166.04946881921325</v>
      </c>
      <c r="AE10" s="28">
        <f>AE8*' KF Asia excluding China'!H85</f>
        <v>146.4250682358421</v>
      </c>
      <c r="AF10" s="28"/>
      <c r="AG10" s="29">
        <f t="shared" ref="AG10:AG11" si="3">-(S10+N10)</f>
        <v>247.45590714731003</v>
      </c>
      <c r="AH10" s="29">
        <f>-(C10*Emissionsfaktorer!$B$2*(1-' KF Asia excluding China'!H135)+D10*Emissionsfaktorer!$B$3+E10*Emissionsfaktorer!$B$4*(1-' KF Asia excluding China'!H136)+F10*Emissionsfaktorer!$B$5*(1-' KF Asia excluding China'!H137)+G10*Emissionsfaktorer!$B$6+H10*Emissionsfaktorer!$B$7+I10*Emissionsfaktorer!$B$8-J10*Emissionsfaktorer!B14*' KF Asia excluding China'!H142+K10*Emissionsfaktorer!$B$10+L10*Emissionsfaktorer!$B$11+M10*Emissionsfaktorer!$B$12)</f>
        <v>48.214612123037668</v>
      </c>
    </row>
    <row r="11" spans="1:34" x14ac:dyDescent="0.35">
      <c r="C11" s="26">
        <f>-($AE$11+$H$11+$I$11)/IF($T$11=0,1,$T$11)*' KF Asia excluding China'!$H123</f>
        <v>0</v>
      </c>
      <c r="D11" s="26">
        <f>-($AE$11+$H$11+$I$11)/IF($T$11=0,1,$T$11)*' KF Asia excluding China'!$H123</f>
        <v>0</v>
      </c>
      <c r="E11" s="26">
        <f>-($AE$11+$H$11+$I$11)/IF($T$11=0,1,$T$11)*' KF Asia excluding China'!$H123</f>
        <v>0</v>
      </c>
      <c r="F11" s="26">
        <f>-($AE$11+$H$11+$I$11)/IF($T$11=0,1,$T$11)*' KF Asia excluding China'!$H123</f>
        <v>0</v>
      </c>
      <c r="G11" s="26">
        <f>-($AE$11+$H$11+$I$11)/IF($T$11=0,1,T11)*' KF Asia excluding China'!$H127</f>
        <v>0</v>
      </c>
      <c r="H11" s="26"/>
      <c r="I11" s="26">
        <f>AE11*' KF Asia excluding China'!H101*-1</f>
        <v>0</v>
      </c>
      <c r="J11" s="26">
        <f>-($AE$11+$H$11+$I$11)/IF($T$11=0,1,T11)*' KF Asia excluding China'!$H128</f>
        <v>0</v>
      </c>
      <c r="K11" s="28">
        <f>AE11*' KF Asia excluding China'!H88*-1</f>
        <v>0</v>
      </c>
      <c r="L11" s="25"/>
      <c r="M11" s="25"/>
      <c r="N11" s="23">
        <f t="shared" si="0"/>
        <v>0</v>
      </c>
      <c r="O11" s="6" t="s">
        <v>68</v>
      </c>
      <c r="P11" s="64" t="s">
        <v>69</v>
      </c>
      <c r="Q11" s="69" t="s">
        <v>63</v>
      </c>
      <c r="R11" s="69"/>
      <c r="S11" s="24">
        <f t="shared" si="1"/>
        <v>0</v>
      </c>
      <c r="T11" s="37">
        <f>' KF Asia excluding China'!H106</f>
        <v>0</v>
      </c>
      <c r="U11" s="61"/>
      <c r="V11" s="28"/>
      <c r="W11" s="28"/>
      <c r="X11" s="28"/>
      <c r="Y11" s="28"/>
      <c r="Z11" s="28"/>
      <c r="AA11" s="28"/>
      <c r="AB11" s="28"/>
      <c r="AC11" s="28"/>
      <c r="AD11" s="28"/>
      <c r="AE11" s="28">
        <f>AE8*' KF Asia excluding China'!H86</f>
        <v>0</v>
      </c>
      <c r="AF11" s="28"/>
      <c r="AG11" s="29">
        <f t="shared" si="3"/>
        <v>0</v>
      </c>
      <c r="AH11" s="29">
        <f>-(C11*Emissionsfaktorer!$B$2+D11*Emissionsfaktorer!$B$3+E11*Emissionsfaktorer!$B$4+F11*Emissionsfaktorer!$B$5+G11*Emissionsfaktorer!$B$6+H11*Emissionsfaktorer!$B$7+I11*Emissionsfaktorer!$B$8+J11*Emissionsfaktorer!$B$9+K11*Emissionsfaktorer!$B$10+L11*Emissionsfaktorer!$B$11+M11*Emissionsfaktorer!$B$12)</f>
        <v>0</v>
      </c>
    </row>
    <row r="12" spans="1:34" x14ac:dyDescent="0.35">
      <c r="C12" s="26"/>
      <c r="D12" s="26">
        <f>-X12/T12*' KF Asia excluding China'!H130</f>
        <v>-19753.552185038123</v>
      </c>
      <c r="E12" s="25"/>
      <c r="F12" s="26"/>
      <c r="G12" s="26"/>
      <c r="H12" s="26"/>
      <c r="I12" s="26"/>
      <c r="J12" s="27">
        <f>-X12/T12*' KF Asia excluding China'!H131</f>
        <v>0</v>
      </c>
      <c r="K12" s="25"/>
      <c r="L12" s="25"/>
      <c r="M12" s="25"/>
      <c r="N12" s="23">
        <f t="shared" si="0"/>
        <v>-19753.552185038123</v>
      </c>
      <c r="O12" s="6" t="s">
        <v>70</v>
      </c>
      <c r="P12" s="64" t="s">
        <v>71</v>
      </c>
      <c r="Q12" s="69" t="s">
        <v>63</v>
      </c>
      <c r="R12" s="69"/>
      <c r="S12" s="24">
        <f t="shared" si="1"/>
        <v>19414.766871537755</v>
      </c>
      <c r="T12" s="37">
        <f>' KF Asia excluding China'!H107</f>
        <v>0.98284939790439452</v>
      </c>
      <c r="U12" s="61"/>
      <c r="V12" s="28"/>
      <c r="W12" s="28"/>
      <c r="X12" s="28">
        <f>-(E9+E10+E11+E13+E14)</f>
        <v>19414.766871537755</v>
      </c>
      <c r="Y12" s="28"/>
      <c r="Z12" s="28"/>
      <c r="AA12" s="28"/>
      <c r="AB12" s="28"/>
      <c r="AC12" s="28"/>
      <c r="AD12" s="28"/>
      <c r="AE12" s="28"/>
      <c r="AF12" s="28"/>
      <c r="AG12" s="29">
        <f>-(S12+N12)</f>
        <v>338.78531350036792</v>
      </c>
      <c r="AH12" s="29">
        <f>J12*Emissionsfaktorer!B4</f>
        <v>0</v>
      </c>
    </row>
    <row r="13" spans="1:34" x14ac:dyDescent="0.35">
      <c r="C13" s="28">
        <f>N13*' KF Asia excluding China'!H79</f>
        <v>-122.43372799999999</v>
      </c>
      <c r="D13" s="28">
        <f>N13*' KF Asia excluding China'!H81</f>
        <v>-11.891648</v>
      </c>
      <c r="E13" s="28">
        <f>N13*' KF Asia excluding China'!H82</f>
        <v>-1046.967488</v>
      </c>
      <c r="F13" s="28">
        <f>N13*' KF Asia excluding China'!H80</f>
        <v>-1246.6550560000001</v>
      </c>
      <c r="G13" s="28"/>
      <c r="H13" s="28"/>
      <c r="I13" s="28"/>
      <c r="J13" s="36">
        <f>N13*' KF Asia excluding China'!H83</f>
        <v>-0.71182400000000001</v>
      </c>
      <c r="K13" s="28">
        <f>N13*' KF Asia excluding China'!H77</f>
        <v>-620.75239999999997</v>
      </c>
      <c r="L13" s="28">
        <f>N13*' KF Asia excluding China'!H78</f>
        <v>-23.867039999999999</v>
      </c>
      <c r="M13" s="25"/>
      <c r="N13" s="23">
        <f>N16*' KF Asia excluding China'!H75</f>
        <v>-3073.279184</v>
      </c>
      <c r="O13" s="6" t="s">
        <v>72</v>
      </c>
      <c r="P13" s="64" t="s">
        <v>73</v>
      </c>
      <c r="Q13" s="69" t="s">
        <v>63</v>
      </c>
      <c r="R13" s="69"/>
      <c r="S13" s="24">
        <f t="shared" si="1"/>
        <v>0</v>
      </c>
      <c r="T13" s="37">
        <v>0</v>
      </c>
      <c r="U13" s="61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9">
        <f>-(S13+N13)</f>
        <v>3073.279184</v>
      </c>
      <c r="AH13" s="29">
        <f>-(C13*Emissionsfaktorer!$B$2+D13*Emissionsfaktorer!$B$3+E13*Emissionsfaktorer!$B$4+F13*Emissionsfaktorer!$B$5+G13*Emissionsfaktorer!$B$6+H13*Emissionsfaktorer!$B$7+I13*Emissionsfaktorer!$B$8+J13*Emissionsfaktorer!$B$9+K13*Emissionsfaktorer!$B$10+L13*Emissionsfaktorer!$B$11+M13*Emissionsfaktorer!$B$12)</f>
        <v>162.26007143999999</v>
      </c>
    </row>
    <row r="14" spans="1:34" x14ac:dyDescent="0.35">
      <c r="C14" s="15"/>
      <c r="D14" s="15"/>
      <c r="E14" s="16">
        <f>-X14*1</f>
        <v>-17283.712440519572</v>
      </c>
      <c r="F14" s="15"/>
      <c r="G14" s="15"/>
      <c r="H14" s="15"/>
      <c r="I14" s="15"/>
      <c r="J14" s="20"/>
      <c r="K14" s="16">
        <f>-AD14*(1+' KF Asia excluding China'!H72)</f>
        <v>-11005.919586848295</v>
      </c>
      <c r="L14" s="16">
        <f>-AE14*(1+' KF Asia excluding China'!H73)</f>
        <v>-122.55802823584212</v>
      </c>
      <c r="M14" s="16"/>
      <c r="N14" s="23">
        <f t="shared" si="0"/>
        <v>-28412.190055603707</v>
      </c>
      <c r="O14" s="22" t="s">
        <v>74</v>
      </c>
      <c r="P14" s="66" t="s">
        <v>75</v>
      </c>
      <c r="Q14" s="70"/>
      <c r="R14" s="70"/>
      <c r="S14" s="24">
        <f t="shared" si="1"/>
        <v>26979.111989533969</v>
      </c>
      <c r="T14" s="37"/>
      <c r="U14" s="61"/>
      <c r="V14" s="16"/>
      <c r="W14" s="16"/>
      <c r="X14" s="16">
        <f>-E16</f>
        <v>17283.712440519572</v>
      </c>
      <c r="Y14" s="16"/>
      <c r="Z14" s="16"/>
      <c r="AA14" s="16"/>
      <c r="AB14" s="16"/>
      <c r="AC14" s="16"/>
      <c r="AD14" s="16">
        <f>-K16</f>
        <v>9574.8925260325013</v>
      </c>
      <c r="AE14" s="16">
        <f>-L16</f>
        <v>120.50702298189529</v>
      </c>
      <c r="AF14" s="16"/>
      <c r="AG14" s="21">
        <f>-(N14+S14)</f>
        <v>1433.0780660697383</v>
      </c>
      <c r="AH14" s="21"/>
    </row>
    <row r="15" spans="1:34" x14ac:dyDescent="0.35"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23">
        <f t="shared" si="0"/>
        <v>0</v>
      </c>
      <c r="O15" s="22" t="s">
        <v>76</v>
      </c>
      <c r="P15" s="67" t="s">
        <v>77</v>
      </c>
      <c r="Q15" s="66"/>
      <c r="R15" s="66"/>
      <c r="S15" s="24">
        <f t="shared" si="1"/>
        <v>46.393926003669165</v>
      </c>
      <c r="T15" s="37"/>
      <c r="U15" s="61"/>
      <c r="V15" s="14"/>
      <c r="W15" s="14"/>
      <c r="X15" s="14"/>
      <c r="Y15" s="14"/>
      <c r="Z15" s="14"/>
      <c r="AA15" s="14"/>
      <c r="AB15" s="14">
        <f>I16*-1</f>
        <v>46.393926003669165</v>
      </c>
      <c r="AC15" s="14"/>
      <c r="AD15" s="14"/>
      <c r="AE15" s="14"/>
      <c r="AF15" s="14"/>
      <c r="AG15" s="14"/>
      <c r="AH15" s="14"/>
    </row>
    <row r="16" spans="1:34" x14ac:dyDescent="0.35">
      <c r="C16" s="14">
        <f t="shared" ref="C16:M16" si="4">SUM(C17:C19)</f>
        <v>-7000.2934890808829</v>
      </c>
      <c r="D16" s="14">
        <f t="shared" si="4"/>
        <v>0</v>
      </c>
      <c r="E16" s="14">
        <f t="shared" si="4"/>
        <v>-17283.712440519572</v>
      </c>
      <c r="F16" s="14">
        <f t="shared" si="4"/>
        <v>-3013.8482893560226</v>
      </c>
      <c r="G16" s="14">
        <f t="shared" si="4"/>
        <v>0</v>
      </c>
      <c r="H16" s="14">
        <f t="shared" si="4"/>
        <v>0</v>
      </c>
      <c r="I16" s="14">
        <f t="shared" si="4"/>
        <v>-46.393926003669165</v>
      </c>
      <c r="J16" s="14">
        <f t="shared" si="4"/>
        <v>-12235.13629088032</v>
      </c>
      <c r="K16" s="14">
        <f t="shared" si="4"/>
        <v>-9574.8925260325013</v>
      </c>
      <c r="L16" s="14">
        <f t="shared" si="4"/>
        <v>-120.50702298189529</v>
      </c>
      <c r="M16" s="14">
        <f t="shared" si="4"/>
        <v>0</v>
      </c>
      <c r="N16" s="23">
        <f>' KF Asia excluding China'!H5</f>
        <v>-49275.053344</v>
      </c>
      <c r="O16" s="10" t="s">
        <v>78</v>
      </c>
      <c r="P16" s="71" t="s">
        <v>79</v>
      </c>
      <c r="Q16" s="71"/>
      <c r="R16" s="71"/>
      <c r="S16" s="24">
        <f t="shared" si="1"/>
        <v>34547.64386341002</v>
      </c>
      <c r="T16" s="37"/>
      <c r="U16" s="61"/>
      <c r="V16" s="14"/>
      <c r="W16" s="14"/>
      <c r="X16" s="14"/>
      <c r="Y16" s="14"/>
      <c r="Z16" s="14"/>
      <c r="AA16" s="14"/>
      <c r="AB16" s="14"/>
      <c r="AC16" s="14"/>
      <c r="AD16" s="14"/>
      <c r="AE16" s="14"/>
      <c r="AF16" s="14">
        <f>SUM(AF17:AF19)</f>
        <v>34547.64386341002</v>
      </c>
      <c r="AG16" s="14">
        <f t="shared" ref="AG16:AH16" si="5">SUM(AG17:AG19)</f>
        <v>14727.140121444845</v>
      </c>
      <c r="AH16" s="14">
        <f t="shared" si="5"/>
        <v>2150.3793794354647</v>
      </c>
    </row>
    <row r="17" spans="3:34" x14ac:dyDescent="0.35">
      <c r="C17" s="25">
        <f>AF17*' KF Asia excluding China'!H15/T17*' KF Asia excluding China'!H139/' KF Asia excluding China'!H$139*-1</f>
        <v>-6321.8009109462973</v>
      </c>
      <c r="D17" s="25">
        <f>AF17*' KF Asia excluding China'!H16/T17*' KF Asia excluding China'!H139/' KF Asia excluding China'!H$139*-1</f>
        <v>0</v>
      </c>
      <c r="E17" s="25">
        <f>AF17*' KF Asia excluding China'!H17/T17*' KF Asia excluding China'!H139/' KF Asia excluding China'!H$139*-1</f>
        <v>-2639.5968302162837</v>
      </c>
      <c r="F17" s="25">
        <f>AF17*' KF Asia excluding China'!H18/T17*' KF Asia excluding China'!H139/' KF Asia excluding China'!H$139*-1</f>
        <v>-2017.1728631927267</v>
      </c>
      <c r="G17" s="25"/>
      <c r="H17" s="25"/>
      <c r="I17" s="25">
        <f>AF17*' KF Asia excluding China'!H19/T17*' KF Asia excluding China'!H142/' KF Asia excluding China'!H$142*-1</f>
        <v>-2.512306627743925</v>
      </c>
      <c r="J17" s="25">
        <f>AF17*' KF Asia excluding China'!H20*' KF Asia excluding China'!H139/T17/' KF Asia excluding China'!H$139*-1</f>
        <v>-2624.188016232788</v>
      </c>
      <c r="K17" s="25">
        <f>AF17*' KF Asia excluding China'!H21*' KF Asia excluding China'!H141/T17/' KF Asia excluding China'!H$141*-1</f>
        <v>-4183.0324069707649</v>
      </c>
      <c r="L17" s="25">
        <f>AF17*' KF Asia excluding China'!H22*' KF Asia excluding China'!H142/T17/' KF Asia excluding China'!H$142*-1</f>
        <v>-88.09821907955363</v>
      </c>
      <c r="M17" s="25"/>
      <c r="N17" s="23">
        <f>SUM(C17:L17)</f>
        <v>-17876.401553266161</v>
      </c>
      <c r="O17" s="6" t="s">
        <v>80</v>
      </c>
      <c r="P17" s="64" t="s">
        <v>81</v>
      </c>
      <c r="Q17" s="69" t="s">
        <v>79</v>
      </c>
      <c r="R17" s="69"/>
      <c r="S17" s="24">
        <f t="shared" si="1"/>
        <v>14946.698208799999</v>
      </c>
      <c r="T17" s="37">
        <f>(' KF Asia excluding China'!H15+' KF Asia excluding China'!H16+' KF Asia excluding China'!H17+' KF Asia excluding China'!H18+' KF Asia excluding China'!H20)*' KF Asia excluding China'!H139+(' KF Asia excluding China'!H19+' KF Asia excluding China'!H22)*' KF Asia excluding China'!H142+' KF Asia excluding China'!H21*' KF Asia excluding China'!H141</f>
        <v>0.83611336231531008</v>
      </c>
      <c r="U17" s="61"/>
      <c r="V17" s="25"/>
      <c r="W17" s="25"/>
      <c r="X17" s="25"/>
      <c r="Y17" s="25"/>
      <c r="Z17" s="25"/>
      <c r="AA17" s="25"/>
      <c r="AB17" s="25"/>
      <c r="AC17" s="25"/>
      <c r="AD17" s="25"/>
      <c r="AE17" s="25"/>
      <c r="AF17" s="25">
        <f>' KF Asia excluding China'!H5*' KF Asia excluding China'!H7*((' KF Asia excluding China'!G15+' KF Asia excluding China'!G16+' KF Asia excluding China'!G17+' KF Asia excluding China'!G18+' KF Asia excluding China'!G20)*' KF Asia excluding China'!G139+(' KF Asia excluding China'!G19+' KF Asia excluding China'!G22)*' KF Asia excluding China'!G142+' KF Asia excluding China'!G21*' KF Asia excluding China'!G141)*-1</f>
        <v>14946.698208799999</v>
      </c>
      <c r="AG17" s="25">
        <f>(S17+SUM(C17:M17))*-1</f>
        <v>2929.7033444661629</v>
      </c>
      <c r="AH17" s="29">
        <f>-(C17*Emissionsfaktorer!$B$2+D17*Emissionsfaktorer!$B$3+E17*Emissionsfaktorer!$B$4+F17*Emissionsfaktorer!$B$5+G17*Emissionsfaktorer!$B$6+H17*Emissionsfaktorer!$B$7+I17*Emissionsfaktorer!$B$8+J17*Emissionsfaktorer!$B$9+K17*Emissionsfaktorer!$B$10+L17*Emissionsfaktorer!$B$11+M17*Emissionsfaktorer!$B$12)</f>
        <v>916.15929883832121</v>
      </c>
    </row>
    <row r="18" spans="3:34" x14ac:dyDescent="0.35">
      <c r="C18" s="25">
        <f>AF18*' KF Asia excluding China'!H24/T18*' KF Asia excluding China'!H140/' KF Asia excluding China'!H$140*-1</f>
        <v>-0.58620799999999995</v>
      </c>
      <c r="D18" s="25"/>
      <c r="E18" s="25">
        <f>AF18*' KF Asia excluding China'!H25/T18*' KF Asia excluding China'!H140/' KF Asia excluding China'!H$140*-1</f>
        <v>-11192.259984</v>
      </c>
      <c r="F18" s="25">
        <f>AF18*' KF Asia excluding China'!H26/T18*' KF Asia excluding China'!H140/' KF Asia excluding China'!H$140*-1</f>
        <v>-339.875024</v>
      </c>
      <c r="G18" s="25"/>
      <c r="H18" s="25"/>
      <c r="I18" s="25">
        <f>AF18*' KF Asia excluding China'!H27/T18*' KF Asia excluding China'!H142/' KF Asia excluding China'!H$142*-1</f>
        <v>0</v>
      </c>
      <c r="J18" s="25">
        <f>AF18*' KF Asia excluding China'!H28/T18*' KF Asia excluding China'!H140/' KF Asia excluding China'!H$140*-1</f>
        <v>-274.93155199999995</v>
      </c>
      <c r="K18" s="25">
        <f>AF18*' KF Asia excluding China'!H29/T18*' KF Asia excluding China'!H141/' KF Asia excluding China'!H$141*-1</f>
        <v>-85.251391999999981</v>
      </c>
      <c r="L18" s="25">
        <f>AF18*' KF Asia excluding China'!H30/T18*' KF Asia excluding China'!H142/' KF Asia excluding China'!H$142*-1</f>
        <v>0</v>
      </c>
      <c r="M18" s="25"/>
      <c r="N18" s="23">
        <f>SUM(C18:L18)</f>
        <v>-11892.904160000002</v>
      </c>
      <c r="O18" s="6" t="s">
        <v>82</v>
      </c>
      <c r="P18" s="64" t="s">
        <v>83</v>
      </c>
      <c r="Q18" s="69" t="s">
        <v>79</v>
      </c>
      <c r="R18" s="69"/>
      <c r="S18" s="24">
        <f t="shared" si="1"/>
        <v>3623.2846527999995</v>
      </c>
      <c r="T18" s="37">
        <f>(' KF Asia excluding China'!H24+' KF Asia excluding China'!H25+' KF Asia excluding China'!H26+' KF Asia excluding China'!H28)*' KF Asia excluding China'!H140+(' KF Asia excluding China'!H27+' KF Asia excluding China'!H30)*' KF Asia excluding China'!H142+' KF Asia excluding China'!H29*' KF Asia excluding China'!H141</f>
        <v>0.304659366968278</v>
      </c>
      <c r="U18" s="61"/>
      <c r="V18" s="25"/>
      <c r="W18" s="25"/>
      <c r="X18" s="25"/>
      <c r="Y18" s="25"/>
      <c r="Z18" s="25"/>
      <c r="AA18" s="25"/>
      <c r="AB18" s="25"/>
      <c r="AC18" s="25"/>
      <c r="AD18" s="25"/>
      <c r="AE18" s="25"/>
      <c r="AF18" s="25">
        <f>' KF Asia excluding China'!H5*' KF Asia excluding China'!H8*-1*((' KF Asia excluding China'!G24+' KF Asia excluding China'!G25+' KF Asia excluding China'!G26+' KF Asia excluding China'!G28)*' KF Asia excluding China'!G140+(' KF Asia excluding China'!G27+' KF Asia excluding China'!G30)*' KF Asia excluding China'!G142+' KF Asia excluding China'!G29*' KF Asia excluding China'!G141)</f>
        <v>3623.2846527999995</v>
      </c>
      <c r="AG18" s="25">
        <f>(S18+SUM(C18:M18))*-1</f>
        <v>8269.6195072000028</v>
      </c>
      <c r="AH18" s="29">
        <f>-(C18*Emissionsfaktorer!$B$2+D18*Emissionsfaktorer!$B$3+E18*Emissionsfaktorer!$B$4+F18*Emissionsfaktorer!$B$5+G18*Emissionsfaktorer!$B$6+H18*Emissionsfaktorer!$B$7+I18*Emissionsfaktorer!$B$8+J18*Emissionsfaktorer!$B$9+K18*Emissionsfaktorer!$B$10+L18*Emissionsfaktorer!$B$11+M18*Emissionsfaktorer!$B$12)</f>
        <v>870.04032491199996</v>
      </c>
    </row>
    <row r="19" spans="3:34" x14ac:dyDescent="0.35">
      <c r="C19" s="25">
        <f>SUM(C20:C24)</f>
        <v>-677.90637013458536</v>
      </c>
      <c r="D19" s="25">
        <f t="shared" ref="D19:M19" si="6">SUM(D20:D24)</f>
        <v>0</v>
      </c>
      <c r="E19" s="25">
        <f t="shared" si="6"/>
        <v>-3451.855626303287</v>
      </c>
      <c r="F19" s="25">
        <f t="shared" si="6"/>
        <v>-656.80040216329598</v>
      </c>
      <c r="G19" s="25">
        <f t="shared" si="6"/>
        <v>0</v>
      </c>
      <c r="H19" s="25">
        <f t="shared" si="6"/>
        <v>0</v>
      </c>
      <c r="I19" s="25">
        <f t="shared" si="6"/>
        <v>-43.88161937592524</v>
      </c>
      <c r="J19" s="25">
        <f t="shared" si="6"/>
        <v>-9336.0167226475314</v>
      </c>
      <c r="K19" s="25">
        <f t="shared" si="6"/>
        <v>-5306.6087270617354</v>
      </c>
      <c r="L19" s="25">
        <f t="shared" si="6"/>
        <v>-32.408803902341667</v>
      </c>
      <c r="M19" s="25">
        <f t="shared" si="6"/>
        <v>0</v>
      </c>
      <c r="N19" s="23">
        <f>SUM(N20:N24)</f>
        <v>-19505.478271588701</v>
      </c>
      <c r="O19" s="6" t="s">
        <v>84</v>
      </c>
      <c r="P19" s="64" t="s">
        <v>85</v>
      </c>
      <c r="Q19" s="69" t="s">
        <v>79</v>
      </c>
      <c r="R19" s="69"/>
      <c r="S19" s="24">
        <f t="shared" si="1"/>
        <v>15977.661001810022</v>
      </c>
      <c r="T19" s="37">
        <v>0.8</v>
      </c>
      <c r="U19" s="61"/>
      <c r="V19" s="25">
        <f>SUM(V20:V24)</f>
        <v>0</v>
      </c>
      <c r="W19" s="25">
        <f t="shared" ref="W19:AH19" si="7">SUM(W20:W24)</f>
        <v>0</v>
      </c>
      <c r="X19" s="25">
        <f t="shared" si="7"/>
        <v>0</v>
      </c>
      <c r="Y19" s="25">
        <f t="shared" si="7"/>
        <v>0</v>
      </c>
      <c r="Z19" s="25">
        <f t="shared" si="7"/>
        <v>0</v>
      </c>
      <c r="AA19" s="25">
        <f t="shared" si="7"/>
        <v>0</v>
      </c>
      <c r="AB19" s="25">
        <f t="shared" si="7"/>
        <v>0</v>
      </c>
      <c r="AC19" s="25">
        <f t="shared" si="7"/>
        <v>0</v>
      </c>
      <c r="AD19" s="25">
        <f t="shared" si="7"/>
        <v>0</v>
      </c>
      <c r="AE19" s="25">
        <f t="shared" si="7"/>
        <v>0</v>
      </c>
      <c r="AF19" s="25">
        <f t="shared" si="7"/>
        <v>15977.661001810022</v>
      </c>
      <c r="AG19" s="25">
        <f t="shared" si="7"/>
        <v>3527.8172697786804</v>
      </c>
      <c r="AH19" s="25">
        <f t="shared" si="7"/>
        <v>364.17975568514328</v>
      </c>
    </row>
    <row r="20" spans="3:34" x14ac:dyDescent="0.35">
      <c r="C20" s="92">
        <f>AF20*' KF Asia excluding China'!H$32/T20*' KF Asia excluding China'!H$139/' KF Asia excluding China'!H$139*-1</f>
        <v>-200.98433095468286</v>
      </c>
      <c r="D20" s="92"/>
      <c r="E20" s="92">
        <f>AF20*' KF Asia excluding China'!H33/T20*' KF Asia excluding China'!H$140/' KF Asia excluding China'!H$140*-1</f>
        <v>-1845.9573363475311</v>
      </c>
      <c r="F20" s="92">
        <f>AF20*' KF Asia excluding China'!H$34/T20*' KF Asia excluding China'!H$140/' KF Asia excluding China'!H$140*-1</f>
        <v>-505.72682276472074</v>
      </c>
      <c r="G20" s="92"/>
      <c r="H20" s="92"/>
      <c r="I20" s="92">
        <f>AF20*' KF Asia excluding China'!H$35/T20*' KF Asia excluding China'!H$142/' KF Asia excluding China'!H$142*-1</f>
        <v>-37.47520337592524</v>
      </c>
      <c r="J20" s="92">
        <f>AF20*' KF Asia excluding China'!H$36/T20*' KF Asia excluding China'!H$140/' KF Asia excluding China'!H$140*-1</f>
        <v>-8939.1549648300606</v>
      </c>
      <c r="K20" s="92">
        <f>AF20*' KF Asia excluding China'!H$37/T20*' KF Asia excluding China'!H$141/' KF Asia excluding China'!H$141*-1</f>
        <v>-2683.8107660148648</v>
      </c>
      <c r="L20" s="92">
        <f>AF20*' KF Asia excluding China'!H$38/T20*' KF Asia excluding China'!H$142/' KF Asia excluding China'!H$142*-1</f>
        <v>-17.167411602379161</v>
      </c>
      <c r="M20" s="92"/>
      <c r="N20" s="23">
        <f>SUM(C20:L20)</f>
        <v>-14230.276835890165</v>
      </c>
      <c r="O20" s="84" t="s">
        <v>86</v>
      </c>
      <c r="P20" s="85" t="s">
        <v>87</v>
      </c>
      <c r="Q20" s="86" t="s">
        <v>85</v>
      </c>
      <c r="R20" s="86"/>
      <c r="S20" s="24">
        <f t="shared" si="1"/>
        <v>11797.721606610023</v>
      </c>
      <c r="T20" s="37">
        <f>(' KF Asia excluding China'!H32+' KF Asia excluding China'!H33+' KF Asia excluding China'!H34+' KF Asia excluding China'!H36)*' KF Asia excluding China'!H139+(' KF Asia excluding China'!H35+' KF Asia excluding China'!H38)*' KF Asia excluding China'!H142+' KF Asia excluding China'!H37*' KF Asia excluding China'!H141</f>
        <v>0.82905777186674279</v>
      </c>
      <c r="U20" s="61"/>
      <c r="V20" s="92"/>
      <c r="W20" s="92"/>
      <c r="X20" s="92"/>
      <c r="Y20" s="92"/>
      <c r="Z20" s="92"/>
      <c r="AA20" s="92"/>
      <c r="AB20" s="92"/>
      <c r="AC20" s="92"/>
      <c r="AD20" s="92"/>
      <c r="AE20" s="92"/>
      <c r="AF20" s="92">
        <f>' KF Asia excluding China'!H5*' KF Asia excluding China'!H9*((' KF Asia excluding China'!G32+' KF Asia excluding China'!G33+' KF Asia excluding China'!G34+' KF Asia excluding China'!G36)*' KF Asia excluding China'!G139+(' KF Asia excluding China'!G35+' KF Asia excluding China'!G38)*' KF Asia excluding China'!G142+' KF Asia excluding China'!G37*' KF Asia excluding China'!G141)*-1</f>
        <v>11797.721606610023</v>
      </c>
      <c r="AG20" s="92">
        <f>(N20+AF20)*-1</f>
        <v>2432.5552292801422</v>
      </c>
      <c r="AH20" s="87">
        <f>-(C20*Emissionsfaktorer!$B$2+D20*Emissionsfaktorer!$B$3+E20*Emissionsfaktorer!$B$4+F20*Emissionsfaktorer!$B$5+G20*Emissionsfaktorer!$B$6+H20*Emissionsfaktorer!$B$7+I20*Emissionsfaktorer!$B$8+J20*Emissionsfaktorer!$B$9+K20*Emissionsfaktorer!$B$10+L20*Emissionsfaktorer!$B$11+M20*Emissionsfaktorer!$B$12)</f>
        <v>188.2126979006963</v>
      </c>
    </row>
    <row r="21" spans="3:34" x14ac:dyDescent="0.35">
      <c r="C21" s="92">
        <f>AF21*' KF Asia excluding China'!H$40/T21*' KF Asia excluding China'!H$139/' KF Asia excluding China'!H$139*-1</f>
        <v>-222.71716800000002</v>
      </c>
      <c r="D21" s="92"/>
      <c r="E21" s="92">
        <f>AF21*' KF Asia excluding China'!H41/T21*' KF Asia excluding China'!H$140/' KF Asia excluding China'!H$140*-1</f>
        <v>-456.69790400000005</v>
      </c>
      <c r="F21" s="92">
        <f>AF21*' KF Asia excluding China'!H$42/T21*' KF Asia excluding China'!H$140/' KF Asia excluding China'!H$140*-1</f>
        <v>-140.983024</v>
      </c>
      <c r="G21" s="92"/>
      <c r="H21" s="92"/>
      <c r="I21" s="92">
        <f>AF21*' KF Asia excluding China'!H$43/T21*' KF Asia excluding China'!H$142/' KF Asia excluding China'!H$142*-1</f>
        <v>-4.3128160000000006</v>
      </c>
      <c r="J21" s="92">
        <f>AF21*' KF Asia excluding China'!H$44/T21*' KF Asia excluding China'!H$140/' KF Asia excluding China'!H$140*-1</f>
        <v>-349.63120000000004</v>
      </c>
      <c r="K21" s="92">
        <f>AF21*' KF Asia excluding China'!H$45/T21*' KF Asia excluding China'!H$141/' KF Asia excluding China'!H$141*-1</f>
        <v>-1451.4928800000005</v>
      </c>
      <c r="L21" s="92">
        <f>AF21*' KF Asia excluding China'!H$46/T21*' KF Asia excluding China'!H$142/' KF Asia excluding China'!H$142*-1</f>
        <v>-13.524656000000002</v>
      </c>
      <c r="M21" s="92"/>
      <c r="N21" s="23">
        <f t="shared" ref="N21:N24" si="8">SUM(C21:L21)</f>
        <v>-2639.3596480000006</v>
      </c>
      <c r="O21" s="84" t="s">
        <v>88</v>
      </c>
      <c r="P21" s="85" t="s">
        <v>89</v>
      </c>
      <c r="Q21" s="86" t="s">
        <v>85</v>
      </c>
      <c r="R21" s="86"/>
      <c r="S21" s="24">
        <f t="shared" si="1"/>
        <v>2332.7791448000003</v>
      </c>
      <c r="T21" s="37">
        <f>(' KF Asia excluding China'!H40+' KF Asia excluding China'!H41+' KF Asia excluding China'!H42+' KF Asia excluding China'!H44)*' KF Asia excluding China'!H139+(' KF Asia excluding China'!H43+' KF Asia excluding China'!H46)*' KF Asia excluding China'!H142+' KF Asia excluding China'!H45*' KF Asia excluding China'!H141</f>
        <v>0.88384284671764446</v>
      </c>
      <c r="U21" s="61"/>
      <c r="V21" s="92"/>
      <c r="W21" s="92"/>
      <c r="X21" s="92"/>
      <c r="Y21" s="92"/>
      <c r="Z21" s="92"/>
      <c r="AA21" s="92"/>
      <c r="AB21" s="92"/>
      <c r="AC21" s="92"/>
      <c r="AD21" s="92"/>
      <c r="AE21" s="92"/>
      <c r="AF21" s="92">
        <f>' KF Asia excluding China'!H5*' KF Asia excluding China'!H10*((' KF Asia excluding China'!G40+' KF Asia excluding China'!G41+' KF Asia excluding China'!G42+' KF Asia excluding China'!G44)*' KF Asia excluding China'!G139+(' KF Asia excluding China'!G43+' KF Asia excluding China'!G46)*' KF Asia excluding China'!G142+' KF Asia excluding China'!G45*' KF Asia excluding China'!G141)*-1</f>
        <v>2332.7791448000003</v>
      </c>
      <c r="AG21" s="92">
        <f t="shared" ref="AG21:AG24" si="9">(N21+AF21)*-1</f>
        <v>306.58050320000029</v>
      </c>
      <c r="AH21" s="87">
        <f>-(C21*Emissionsfaktorer!$B$2+D21*Emissionsfaktorer!$B$3+E21*Emissionsfaktorer!$B$4+F21*Emissionsfaktorer!$B$5+G21*Emissionsfaktorer!$B$6+H21*Emissionsfaktorer!$B$7+I21*Emissionsfaktorer!$B$8+J21*Emissionsfaktorer!$B$9+K21*Emissionsfaktorer!$B$10+L21*Emissionsfaktorer!$B$11+M21*Emissionsfaktorer!$B$12)</f>
        <v>63.903204032000005</v>
      </c>
    </row>
    <row r="22" spans="3:34" x14ac:dyDescent="0.35">
      <c r="C22" s="92">
        <f>AF22*' KF Asia excluding China'!H$48/T22*' KF Asia excluding China'!H$139/' KF Asia excluding China'!H$139*-1</f>
        <v>-0.5442951799025123</v>
      </c>
      <c r="D22" s="92"/>
      <c r="E22" s="92">
        <f>AF22*' KF Asia excluding China'!H49/T22*' KF Asia excluding China'!H$140/' KF Asia excluding China'!H$140*-1</f>
        <v>-805.34752195575572</v>
      </c>
      <c r="F22" s="92">
        <f>AF22*' KF Asia excluding China'!H$50/T22*' KF Asia excluding China'!H$140/' KF Asia excluding China'!H$140*-1</f>
        <v>-7.9550833985751792</v>
      </c>
      <c r="G22" s="92"/>
      <c r="H22" s="92"/>
      <c r="I22" s="92">
        <f>AF22*' KF Asia excluding China'!H$51/T22*' KF Asia excluding China'!H$142/' KF Asia excluding China'!H$142*-1</f>
        <v>0</v>
      </c>
      <c r="J22" s="92">
        <f>AF22*' KF Asia excluding China'!H$52/T22*' KF Asia excluding China'!H$140/' KF Asia excluding China'!H$140*-1</f>
        <v>-14.109805817472818</v>
      </c>
      <c r="K22" s="92">
        <f>AF22*' KF Asia excluding China'!H$53/T22*' KF Asia excluding China'!H$141/' KF Asia excluding China'!H$141*-1</f>
        <v>-854.96212104686924</v>
      </c>
      <c r="L22" s="92">
        <f>AF22*' KF Asia excluding China'!H$54/T22*' KF Asia excluding China'!H$142/' KF Asia excluding China'!H$142*-1</f>
        <v>-0.2093442999625047</v>
      </c>
      <c r="M22" s="92"/>
      <c r="N22" s="23">
        <f t="shared" si="8"/>
        <v>-1683.1281716985382</v>
      </c>
      <c r="O22" s="84" t="s">
        <v>90</v>
      </c>
      <c r="P22" s="85" t="s">
        <v>91</v>
      </c>
      <c r="Q22" s="86" t="s">
        <v>85</v>
      </c>
      <c r="R22" s="86"/>
      <c r="S22" s="24">
        <f t="shared" si="1"/>
        <v>1060.8103712</v>
      </c>
      <c r="T22" s="37">
        <f>(' KF Asia excluding China'!H48+' KF Asia excluding China'!H49+' KF Asia excluding China'!H50+' KF Asia excluding China'!H52)*' KF Asia excluding China'!H140+(' KF Asia excluding China'!H51+' KF Asia excluding China'!H54)*' KF Asia excluding China'!H142+' KF Asia excluding China'!H53*' KF Asia excluding China'!H141</f>
        <v>0.63026119402985059</v>
      </c>
      <c r="U22" s="61"/>
      <c r="V22" s="92"/>
      <c r="W22" s="92"/>
      <c r="X22" s="92"/>
      <c r="Y22" s="92"/>
      <c r="Z22" s="92"/>
      <c r="AA22" s="92"/>
      <c r="AB22" s="92"/>
      <c r="AC22" s="92"/>
      <c r="AD22" s="92"/>
      <c r="AE22" s="92"/>
      <c r="AF22" s="92">
        <f>((' KF Asia excluding China'!G48+' KF Asia excluding China'!G49+' KF Asia excluding China'!G50+' KF Asia excluding China'!G52)*' KF Asia excluding China'!G140+(' KF Asia excluding China'!G51+' KF Asia excluding China'!G54)*' KF Asia excluding China'!G142+' KF Asia excluding China'!G53*' KF Asia excluding China'!G141)*' KF Asia excluding China'!H11*' KF Asia excluding China'!H5*-1</f>
        <v>1060.8103712</v>
      </c>
      <c r="AG22" s="92">
        <f t="shared" si="9"/>
        <v>622.31780049853819</v>
      </c>
      <c r="AH22" s="87">
        <f>-(C22*Emissionsfaktorer!$B$2+D22*Emissionsfaktorer!$B$3+E22*Emissionsfaktorer!$B$4+F22*Emissionsfaktorer!$B$5+G22*Emissionsfaktorer!$B$6+H22*Emissionsfaktorer!$B$7+I22*Emissionsfaktorer!$B$8+J22*Emissionsfaktorer!$B$9+K22*Emissionsfaktorer!$B$10+L22*Emissionsfaktorer!$B$11+M22*Emissionsfaktorer!$B$12)</f>
        <v>61.711559464446957</v>
      </c>
    </row>
    <row r="23" spans="3:34" x14ac:dyDescent="0.35">
      <c r="C23" s="92">
        <f>AF23*' KF Asia excluding China'!H$56/T23*' KF Asia excluding China'!H$139/' KF Asia excluding China'!H$139*-1</f>
        <v>0</v>
      </c>
      <c r="D23" s="92"/>
      <c r="E23" s="92">
        <f>AF23*' KF Asia excluding China'!H57/T23*' KF Asia excluding China'!H$140/' KF Asia excluding China'!H$140*-1</f>
        <v>-47.859695999999985</v>
      </c>
      <c r="F23" s="92">
        <f>AF23*' KF Asia excluding China'!H$58/T23*' KF Asia excluding China'!H$140/' KF Asia excluding China'!H$140*-1</f>
        <v>0</v>
      </c>
      <c r="G23" s="92"/>
      <c r="H23" s="92"/>
      <c r="I23" s="92">
        <f>AF23*' KF Asia excluding China'!H$59/T23*' KF Asia excluding China'!H$142/' KF Asia excluding China'!H$142*-1</f>
        <v>0</v>
      </c>
      <c r="J23" s="92">
        <f>AF23*' KF Asia excluding China'!H$60/T23*' KF Asia excluding China'!H$140/' KF Asia excluding China'!H$140*-1</f>
        <v>-0.12561599999999998</v>
      </c>
      <c r="K23" s="92">
        <f>AF23*' KF Asia excluding China'!H$61/T23*' KF Asia excluding China'!H$141/' KF Asia excluding China'!H$141*-1</f>
        <v>-4.6896640000000032</v>
      </c>
      <c r="L23" s="92">
        <f>AF23*' KF Asia excluding China'!H$62/T23*' KF Asia excluding China'!H$142/' KF Asia excluding China'!H$142*-1</f>
        <v>0</v>
      </c>
      <c r="M23" s="92"/>
      <c r="N23" s="23">
        <f t="shared" si="8"/>
        <v>-52.674975999999987</v>
      </c>
      <c r="O23" s="84" t="s">
        <v>92</v>
      </c>
      <c r="P23" s="85" t="s">
        <v>93</v>
      </c>
      <c r="Q23" s="86" t="s">
        <v>85</v>
      </c>
      <c r="R23" s="86"/>
      <c r="S23" s="24">
        <f t="shared" si="1"/>
        <v>18.850774399999999</v>
      </c>
      <c r="T23" s="37">
        <f>(' KF Asia excluding China'!H56+' KF Asia excluding China'!H57+' KF Asia excluding China'!H58+' KF Asia excluding China'!H60)*' KF Asia excluding China'!H140+(' KF Asia excluding China'!H59+' KF Asia excluding China'!H62)*' KF Asia excluding China'!H142+' KF Asia excluding China'!H61*' KF Asia excluding China'!H141</f>
        <v>0.35786963434022262</v>
      </c>
      <c r="U23" s="61"/>
      <c r="V23" s="92"/>
      <c r="W23" s="92"/>
      <c r="X23" s="92"/>
      <c r="Y23" s="92"/>
      <c r="Z23" s="92"/>
      <c r="AA23" s="92"/>
      <c r="AB23" s="92"/>
      <c r="AC23" s="92"/>
      <c r="AD23" s="92"/>
      <c r="AE23" s="92"/>
      <c r="AF23" s="92">
        <f>((' KF Asia excluding China'!G56+' KF Asia excluding China'!G57+' KF Asia excluding China'!G58+' KF Asia excluding China'!G60)*' KF Asia excluding China'!G140+(' KF Asia excluding China'!G59+' KF Asia excluding China'!G62)*' KF Asia excluding China'!G142+' KF Asia excluding China'!G61*' KF Asia excluding China'!G141)*' KF Asia excluding China'!H5*' KF Asia excluding China'!H12*-1</f>
        <v>18.850774399999999</v>
      </c>
      <c r="AG23" s="92">
        <f t="shared" si="9"/>
        <v>33.824201599999988</v>
      </c>
      <c r="AH23" s="87">
        <f>-(C23*Emissionsfaktorer!$B$2+D23*Emissionsfaktorer!$B$3+E23*Emissionsfaktorer!$B$4+F23*Emissionsfaktorer!$B$5+G23*Emissionsfaktorer!$B$6+H23*Emissionsfaktorer!$B$7+I23*Emissionsfaktorer!$B$8+J23*Emissionsfaktorer!$B$9+K23*Emissionsfaktorer!$B$10+L23*Emissionsfaktorer!$B$11+M23*Emissionsfaktorer!$B$12)</f>
        <v>3.637336895999999</v>
      </c>
    </row>
    <row r="24" spans="3:34" x14ac:dyDescent="0.35">
      <c r="C24" s="92">
        <f>AF24*' KF Asia excluding China'!H$64/T24*' KF Asia excluding China'!H$139/' KF Asia excluding China'!H$139*-1</f>
        <v>-253.66057599999999</v>
      </c>
      <c r="D24" s="92"/>
      <c r="E24" s="92">
        <f>AF24*' KF Asia excluding China'!H65/T24*' KF Asia excluding China'!H$140/' KF Asia excluding China'!H$140*-1</f>
        <v>-295.99316799999997</v>
      </c>
      <c r="F24" s="92">
        <f>AF24*' KF Asia excluding China'!H$66/T24*' KF Asia excluding China'!H$140/' KF Asia excluding China'!H$140*-1</f>
        <v>-2.135472</v>
      </c>
      <c r="G24" s="92"/>
      <c r="H24" s="92"/>
      <c r="I24" s="92">
        <f>AF24*' KF Asia excluding China'!H$67/T24*' KF Asia excluding China'!H$142/' KF Asia excluding China'!H$142*-1</f>
        <v>-2.0935999999999999</v>
      </c>
      <c r="J24" s="92">
        <f>AF24*' KF Asia excluding China'!H$68/T24*' KF Asia excluding China'!H$140/' KF Asia excluding China'!H$140*-1</f>
        <v>-32.995135999999995</v>
      </c>
      <c r="K24" s="92">
        <f>AF24*' KF Asia excluding China'!H$69/T24*' KF Asia excluding China'!H$141/' KF Asia excluding China'!H$141*-1</f>
        <v>-311.65329600000001</v>
      </c>
      <c r="L24" s="92">
        <f>AF24*' KF Asia excluding China'!H$70/T24*' KF Asia excluding China'!H$142/' KF Asia excluding China'!H$142*-1</f>
        <v>-1.5073919999999998</v>
      </c>
      <c r="M24" s="92"/>
      <c r="N24" s="23">
        <f t="shared" si="8"/>
        <v>-900.03863999999999</v>
      </c>
      <c r="O24" s="84" t="s">
        <v>94</v>
      </c>
      <c r="P24" s="85" t="s">
        <v>95</v>
      </c>
      <c r="Q24" s="86" t="s">
        <v>85</v>
      </c>
      <c r="R24" s="86"/>
      <c r="S24" s="24">
        <f t="shared" si="1"/>
        <v>767.49910479999994</v>
      </c>
      <c r="T24" s="37">
        <f>(' KF Asia excluding China'!H64+' KF Asia excluding China'!H65+' KF Asia excluding China'!H66+' KF Asia excluding China'!H68)*' KF Asia excluding China'!H139+(' KF Asia excluding China'!H67+' KF Asia excluding China'!H70)*' KF Asia excluding China'!H142+' KF Asia excluding China'!H69*' KF Asia excluding China'!H141</f>
        <v>0.8527401721330542</v>
      </c>
      <c r="U24" s="61"/>
      <c r="V24" s="92"/>
      <c r="W24" s="92"/>
      <c r="X24" s="92"/>
      <c r="Y24" s="92"/>
      <c r="Z24" s="92"/>
      <c r="AA24" s="92"/>
      <c r="AB24" s="92"/>
      <c r="AC24" s="92"/>
      <c r="AD24" s="92"/>
      <c r="AE24" s="92"/>
      <c r="AF24" s="92">
        <f>((' KF Asia excluding China'!G64+' KF Asia excluding China'!G65+' KF Asia excluding China'!G66+' KF Asia excluding China'!G68)*' KF Asia excluding China'!G139+(' KF Asia excluding China'!G67+' KF Asia excluding China'!G70)*' KF Asia excluding China'!G142+' KF Asia excluding China'!G69*' KF Asia excluding China'!G141)*' KF Asia excluding China'!H5*' KF Asia excluding China'!H13*-1</f>
        <v>767.49910479999994</v>
      </c>
      <c r="AG24" s="92">
        <f t="shared" si="9"/>
        <v>132.53953520000005</v>
      </c>
      <c r="AH24" s="87">
        <f>-(C24*Emissionsfaktorer!$B$2+D24*Emissionsfaktorer!$B$3+E24*Emissionsfaktorer!$B$4+F24*Emissionsfaktorer!$B$5+G24*Emissionsfaktorer!$B$6+H24*Emissionsfaktorer!$B$7+I24*Emissionsfaktorer!$B$8+J24*Emissionsfaktorer!$B$9+K24*Emissionsfaktorer!$B$10+L24*Emissionsfaktorer!$B$11+M24*Emissionsfaktorer!$B$12)</f>
        <v>46.714957391999995</v>
      </c>
    </row>
    <row r="25" spans="3:34" x14ac:dyDescent="0.35"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23">
        <f>N16</f>
        <v>-49275.053344</v>
      </c>
      <c r="O25" s="10" t="s">
        <v>11</v>
      </c>
      <c r="P25" s="71" t="s">
        <v>96</v>
      </c>
      <c r="Q25" s="71"/>
      <c r="R25" s="71"/>
      <c r="S25" s="24">
        <f t="shared" si="1"/>
        <v>34547.64386341002</v>
      </c>
      <c r="T25" s="37">
        <f>AF25/N25*-1</f>
        <v>0.70111834526540862</v>
      </c>
      <c r="U25" s="61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>
        <f>AF16</f>
        <v>34547.64386341002</v>
      </c>
      <c r="AG25" s="14">
        <f>-(S25+N25)</f>
        <v>14727.40948058998</v>
      </c>
      <c r="AH25" s="14"/>
    </row>
    <row r="28" spans="3:34" x14ac:dyDescent="0.35">
      <c r="X28" s="95"/>
    </row>
    <row r="29" spans="3:34" x14ac:dyDescent="0.35">
      <c r="X29" s="95"/>
    </row>
    <row r="30" spans="3:34" x14ac:dyDescent="0.35">
      <c r="X30" s="95"/>
    </row>
    <row r="31" spans="3:34" x14ac:dyDescent="0.35">
      <c r="E31" s="40"/>
    </row>
  </sheetData>
  <pageMargins left="0.7" right="0.7" top="0.75" bottom="0.75" header="0.3" footer="0.3"/>
  <pageSetup paperSize="9" orientation="portrait" horizontalDpi="4294967293" verticalDpi="4294967293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Ark26">
    <tabColor theme="9" tint="-0.499984740745262"/>
  </sheetPr>
  <dimension ref="A1:K142"/>
  <sheetViews>
    <sheetView zoomScaleNormal="100" workbookViewId="0">
      <pane ySplit="1" topLeftCell="A89" activePane="bottomLeft" state="frozen"/>
      <selection pane="bottomLeft" activeCell="H99" sqref="H99:I99"/>
    </sheetView>
  </sheetViews>
  <sheetFormatPr defaultRowHeight="14.5" x14ac:dyDescent="0.35"/>
  <cols>
    <col min="1" max="1" width="70" customWidth="1"/>
    <col min="2" max="2" width="9.7265625" customWidth="1"/>
    <col min="10" max="10" width="16.453125" customWidth="1"/>
    <col min="11" max="11" width="13.7265625" customWidth="1"/>
  </cols>
  <sheetData>
    <row r="1" spans="1:11" ht="15.75" customHeight="1" x14ac:dyDescent="0.35">
      <c r="A1" t="s">
        <v>128</v>
      </c>
      <c r="B1" s="76">
        <f>(('Asia excluding China 1995'!$B12+'Asia excluding China 1995'!$B13+'Asia excluding China 1995'!$B14+'Asia excluding China 1995'!$B20-'Asia excluding China 1995'!$B22+'Asia excluding China 1995'!$B30)*Emissionsfaktorer!$B2*-1+('Asia excluding China 1995'!$D22-'Asia excluding China 1995'!$D30-'Asia excluding China 1995'!$D12-'Asia excluding China 1995'!$D13-'Asia excluding China 1995'!$D14-'Asia excluding China 1995'!$D20)*Emissionsfaktorer!$B4+('Asia excluding China 1995'!$E12+'Asia excluding China 1995'!$E13+'Asia excluding China 1995'!$E14+'Asia excluding China 1995'!$E20-'Asia excluding China 1995'!$E22+'Asia excluding China 1995'!$E30)*Emissionsfaktorer!$B5*-1)*0.041872</f>
        <v>1613.3132535679999</v>
      </c>
      <c r="C1" s="76">
        <f>(('Asia excluding China 2000'!$B12+'Asia excluding China 2000'!$B13+'Asia excluding China 2000'!$B14+'Asia excluding China 2000'!$B20-'Asia excluding China 2000'!$B22+'Asia excluding China 2000'!$B30)*Emissionsfaktorer!$B2*-1+('Asia excluding China 2000'!$D22-'Asia excluding China 2000'!$D30-'Asia excluding China 2000'!$D12-'Asia excluding China 2000'!$D13-'Asia excluding China 2000'!$D14-'Asia excluding China 2000'!$D20)*Emissionsfaktorer!$B4+('Asia excluding China 2000'!$E12+'Asia excluding China 2000'!$E13+'Asia excluding China 2000'!$E14+'Asia excluding China 2000'!$E20-'Asia excluding China 2000'!$E22+'Asia excluding China 2000'!$E30)*Emissionsfaktorer!$B5*-1)*0.041872</f>
        <v>2016.7831780639997</v>
      </c>
      <c r="D1" s="76">
        <f>(('Asia excluding China 2005'!$B12+'Asia excluding China 2005'!$B13+'Asia excluding China 2005'!$B14+'Asia excluding China 2005'!$B20-'Asia excluding China 2005'!$B22+'Asia excluding China 2005'!$B30)*Emissionsfaktorer!$B2*-1+('Asia excluding China 2005'!$D22-'Asia excluding China 2005'!$D30-'Asia excluding China 2005'!$D12-'Asia excluding China 2005'!$D13-'Asia excluding China 2005'!$D14-'Asia excluding China 2005'!$D20)*Emissionsfaktorer!$B4+('Asia excluding China 2005'!$E12+'Asia excluding China 2005'!$E13+'Asia excluding China 2005'!$E14+'Asia excluding China 2005'!$E20-'Asia excluding China 2005'!$E22+'Asia excluding China 2005'!$E30)*Emissionsfaktorer!$B5*-1)*0.041872</f>
        <v>2477.1513303520001</v>
      </c>
      <c r="E1" s="76">
        <f>(('Asia excluding China 2010'!$B12+'Asia excluding China 2010'!$B13+'Asia excluding China 2010'!$B14+'Asia excluding China 2010'!$B20-'Asia excluding China 2010'!$B22+'Asia excluding China 2010'!$B30)*Emissionsfaktorer!$B2*-1+('Asia excluding China 2010'!$D22-'Asia excluding China 2010'!$D30-'Asia excluding China 2010'!$D12-'Asia excluding China 2010'!$D13-'Asia excluding China 2010'!$D14-'Asia excluding China 2010'!$D20)*Emissionsfaktorer!$B4+('Asia excluding China 2010'!$E12+'Asia excluding China 2010'!$E13+'Asia excluding China 2010'!$E14+'Asia excluding China 2010'!$E20-'Asia excluding China 2010'!$E22+'Asia excluding China 2010'!$E30)*Emissionsfaktorer!$B5*-1)*0.041872</f>
        <v>3186.554542544</v>
      </c>
      <c r="F1" s="76">
        <f>(('Asia excluding China 2015'!$B12+'Asia excluding China 2015'!$B13+'Asia excluding China 2015'!$B14+'Asia excluding China 2015'!$B20-'Asia excluding China 2015'!$B22+'Asia excluding China 2015'!$B30)*Emissionsfaktorer!$B2*-1+('Asia excluding China 2015'!$D22-'Asia excluding China 2015'!$D30-'Asia excluding China 2015'!$D12-'Asia excluding China 2015'!$D13-'Asia excluding China 2015'!$D14-'Asia excluding China 2015'!$D20)*Emissionsfaktorer!$B4+('Asia excluding China 2015'!$E12+'Asia excluding China 2015'!$E13+'Asia excluding China 2015'!$E14+'Asia excluding China 2015'!$E20-'Asia excluding China 2015'!$E22+'Asia excluding China 2015'!$E30)*Emissionsfaktorer!$B5*-1)*0.041872</f>
        <v>3898.8607823679999</v>
      </c>
      <c r="G1" s="76">
        <f>(('Asia excluding China 2018'!$B12+'Asia excluding China 2018'!$B13+'Asia excluding China 2018'!$B14+'Asia excluding China 2018'!$B20-'Asia excluding China 2018'!$B22+'Asia excluding China 2018'!$B30)*Emissionsfaktorer!$B2*-1+('Asia excluding China 2018'!$D22-'Asia excluding China 2018'!$D30-'Asia excluding China 2018'!$D12-'Asia excluding China 2018'!$D13-'Asia excluding China 2018'!$D14-'Asia excluding China 2018'!$D20)*Emissionsfaktorer!$B4+('Asia excluding China 2018'!$E12+'Asia excluding China 2018'!$E13+'Asia excluding China 2018'!$E14+'Asia excluding China 2018'!$E20-'Asia excluding China 2018'!$E22+'Asia excluding China 2018'!$E30)*Emissionsfaktorer!$B5*-1)*0.041872</f>
        <v>4422.6142239199999</v>
      </c>
      <c r="H1" s="83">
        <f>'BL Asia excluding China 2030'!AH8+'BL Asia excluding China 2030'!AH16</f>
        <v>4411.0186679847975</v>
      </c>
      <c r="I1" s="83">
        <f>'BL Asia excluding China 2050'!AH8+'BL Asia excluding China 2050'!AH16</f>
        <v>4411.0186679847975</v>
      </c>
    </row>
    <row r="2" spans="1:11" ht="15.75" customHeight="1" x14ac:dyDescent="0.35">
      <c r="B2" s="76">
        <f>' KF Middle East'!B1+' KF Africa'!B1+' KF China'!B1+' KF Asia excluding China'!B1+' KF Non-OECD Americas'!B1+' KF Non-OECD Europe Eurasia '!B1+' KF OECD Europe'!B1+' KF OECD Asia Oceania'!B1+' KF OECD Americas'!B1</f>
        <v>20512.548212767997</v>
      </c>
      <c r="C2" s="76">
        <f>' KF Middle East'!C1+' KF Africa'!C1+' KF China'!C1+' KF Asia excluding China'!C1+' KF Non-OECD Americas'!C1+' KF Non-OECD Europe Eurasia '!C1+' KF OECD Europe'!C1+' KF OECD Asia Oceania'!C1+' KF OECD Americas'!C1</f>
        <v>22293.933162016001</v>
      </c>
      <c r="D2" s="76">
        <f>' KF Middle East'!D1+' KF Africa'!D1+' KF China'!D1+' KF Asia excluding China'!D1+' KF Non-OECD Americas'!D1+' KF Non-OECD Europe Eurasia '!D1+' KF OECD Europe'!D1+' KF OECD Asia Oceania'!D1+' KF OECD Americas'!D1</f>
        <v>25992.162037168</v>
      </c>
      <c r="E2" s="76">
        <f>' KF Middle East'!E1+' KF Africa'!E1+' KF China'!E1+' KF Asia excluding China'!E1+' KF Non-OECD Americas'!E1+' KF Non-OECD Europe Eurasia '!E1+' KF OECD Europe'!E1+' KF OECD Asia Oceania'!E1+' KF OECD Americas'!E1</f>
        <v>29123.978319039998</v>
      </c>
      <c r="F2" s="76">
        <f>' KF Middle East'!F1+' KF Africa'!F1+' KF China'!F1+' KF Asia excluding China'!F1+' KF Non-OECD Americas'!F1+' KF Non-OECD Europe Eurasia '!F1+' KF OECD Europe'!F1+' KF OECD Asia Oceania'!F1+' KF OECD Americas'!F1</f>
        <v>30670.019138096002</v>
      </c>
      <c r="G2" s="76">
        <f>' KF Middle East'!G1+' KF Africa'!G1+' KF China'!G1+' KF Asia excluding China'!G1+' KF Non-OECD Americas'!G1+' KF Non-OECD Europe Eurasia '!G1+' KF OECD Europe'!G1+' KF OECD Asia Oceania'!G1+' KF OECD Americas'!G1</f>
        <v>31652.588578768002</v>
      </c>
      <c r="H2" s="101">
        <f>' KF Middle East'!H1+' KF Africa'!H1+' KF China'!H1+' KF Asia excluding China'!H1+' KF Non-OECD Americas'!H1+' KF Non-OECD Europe Eurasia '!H1+' KF OECD Europe'!H1+' KF OECD Asia Oceania'!H1+' KF OECD Americas'!H1</f>
        <v>31634.759971648018</v>
      </c>
      <c r="I2" s="101">
        <f>' KF Middle East'!I1+' KF Africa'!I1+' KF China'!I1+' KF Asia excluding China'!I1+' KF Non-OECD Americas'!I1+' KF Non-OECD Europe Eurasia '!I1+' KF OECD Europe'!I1+' KF OECD Asia Oceania'!I1+' KF OECD Americas'!I1</f>
        <v>31634.759971648018</v>
      </c>
      <c r="J2" t="s">
        <v>129</v>
      </c>
    </row>
    <row r="3" spans="1:11" ht="15.75" customHeight="1" x14ac:dyDescent="0.35">
      <c r="B3" s="117" t="s">
        <v>130</v>
      </c>
      <c r="C3" s="117"/>
      <c r="D3" s="117"/>
      <c r="E3" s="117"/>
      <c r="F3" s="117"/>
      <c r="G3" s="117"/>
      <c r="H3" s="117"/>
      <c r="I3" s="117"/>
    </row>
    <row r="4" spans="1:11" ht="15.75" customHeight="1" x14ac:dyDescent="0.35">
      <c r="B4" s="41">
        <v>1995</v>
      </c>
      <c r="C4" s="114">
        <v>2000</v>
      </c>
      <c r="D4" s="114">
        <v>2005</v>
      </c>
      <c r="E4" s="114">
        <v>2010</v>
      </c>
      <c r="F4" s="114">
        <v>2015</v>
      </c>
      <c r="G4" s="114">
        <v>2018</v>
      </c>
      <c r="H4" s="35">
        <v>2030</v>
      </c>
      <c r="I4" s="35">
        <v>2050</v>
      </c>
    </row>
    <row r="5" spans="1:11" x14ac:dyDescent="0.35">
      <c r="A5" s="30" t="s">
        <v>131</v>
      </c>
      <c r="B5" s="7">
        <f>('Asia excluding China 1995'!$L22-'Asia excluding China 1995'!$L30)*0.041872*-1</f>
        <v>-24958.894272000001</v>
      </c>
      <c r="C5" s="7">
        <f>('Asia excluding China 2000'!$L22-'Asia excluding China 2000'!$L30)*0.041872*-1</f>
        <v>-28603.684384</v>
      </c>
      <c r="D5" s="7">
        <f>('Asia excluding China 2005'!$L22-'Asia excluding China 2005'!$L30)*0.041872*-1</f>
        <v>-33167.564895999996</v>
      </c>
      <c r="E5" s="7">
        <f>('Asia excluding China 2010'!$L22-'Asia excluding China 2010'!$L30)*0.041872*-1</f>
        <v>-40405.265712</v>
      </c>
      <c r="F5" s="7">
        <f>('Asia excluding China 2015'!$L22-'Asia excluding China 2015'!$L30)*0.041872*-1</f>
        <v>-45430.198815999996</v>
      </c>
      <c r="G5" s="7">
        <f>('Asia excluding China 2018'!$L22-'Asia excluding China 2018'!$L30)*0.041872*-1</f>
        <v>-49275.053344</v>
      </c>
      <c r="H5" s="79">
        <f>G5</f>
        <v>-49275.053344</v>
      </c>
      <c r="I5" s="79">
        <f>H5</f>
        <v>-49275.053344</v>
      </c>
      <c r="K5" s="34"/>
    </row>
    <row r="6" spans="1:11" x14ac:dyDescent="0.35">
      <c r="A6" s="31" t="s">
        <v>132</v>
      </c>
      <c r="B6" s="80"/>
      <c r="C6" s="80"/>
      <c r="D6" s="80"/>
      <c r="E6" s="80"/>
      <c r="F6" s="80"/>
      <c r="G6" s="80"/>
      <c r="H6" s="33"/>
      <c r="I6" s="33"/>
    </row>
    <row r="7" spans="1:11" x14ac:dyDescent="0.35">
      <c r="A7" s="30" t="s">
        <v>133</v>
      </c>
      <c r="B7" s="40">
        <f>('Asia excluding China 1995'!$L23/B$5*0.041872*-1)</f>
        <v>0.299980203866621</v>
      </c>
      <c r="C7" s="40">
        <f>('Asia excluding China 2000'!$L23/C$5*0.041872*-1)</f>
        <v>0.3061898167530836</v>
      </c>
      <c r="D7" s="40">
        <f>('Asia excluding China 2005'!$L23/D$5*0.041872*-1)</f>
        <v>0.32514347609825811</v>
      </c>
      <c r="E7" s="40">
        <f>('Asia excluding China 2010'!$L23/E$5*0.041872*-1)</f>
        <v>0.346216622053927</v>
      </c>
      <c r="F7" s="40">
        <f>('Asia excluding China 2015'!$L23/F$5*0.041872*-1)</f>
        <v>0.35778605649146811</v>
      </c>
      <c r="G7" s="40">
        <f>('Asia excluding China 2018'!$L23/G$5*0.041872*-1)</f>
        <v>0.3627900020564207</v>
      </c>
      <c r="H7" s="77">
        <f t="shared" ref="H7:I68" si="0">G7</f>
        <v>0.3627900020564207</v>
      </c>
      <c r="I7" s="77">
        <f>H7</f>
        <v>0.3627900020564207</v>
      </c>
    </row>
    <row r="8" spans="1:11" x14ac:dyDescent="0.35">
      <c r="A8" s="30" t="s">
        <v>134</v>
      </c>
      <c r="B8" s="40">
        <f>'Asia excluding China 1995'!$L24/B$5*0.041872*-1</f>
        <v>0.16544366825706788</v>
      </c>
      <c r="C8" s="40">
        <f>'Asia excluding China 2000'!$L24/C$5*0.041872*-1</f>
        <v>0.17375666425616507</v>
      </c>
      <c r="D8" s="40">
        <f>'Asia excluding China 2005'!$L24/D$5*0.041872*-1</f>
        <v>0.17856556725134387</v>
      </c>
      <c r="E8" s="40">
        <f>'Asia excluding China 2010'!$L24/E$5*0.041872*-1</f>
        <v>0.19337057797591845</v>
      </c>
      <c r="F8" s="40">
        <f>'Asia excluding China 2015'!$L24/F$5*0.041872*-1</f>
        <v>0.22169481777510697</v>
      </c>
      <c r="G8" s="40">
        <f>'Asia excluding China 2018'!$L24/G$5*0.041872*-1</f>
        <v>0.2413575095895486</v>
      </c>
      <c r="H8" s="77">
        <f t="shared" si="0"/>
        <v>0.2413575095895486</v>
      </c>
      <c r="I8" s="77">
        <f t="shared" si="0"/>
        <v>0.2413575095895486</v>
      </c>
    </row>
    <row r="9" spans="1:11" x14ac:dyDescent="0.35">
      <c r="A9" s="30" t="s">
        <v>135</v>
      </c>
      <c r="B9" s="40">
        <f>'Asia excluding China 1995'!$L25/B$5*0.041872*-1</f>
        <v>0.44030962494715437</v>
      </c>
      <c r="C9" s="40">
        <f>'Asia excluding China 2000'!$L25/C$5*0.041872*-1</f>
        <v>0.42554038663664762</v>
      </c>
      <c r="D9" s="40">
        <f>'Asia excluding China 2005'!$L25/D$5*0.041872*-1</f>
        <v>0.39858707919779635</v>
      </c>
      <c r="E9" s="40">
        <f>'Asia excluding China 2010'!$L25/E$5*0.041872*-1</f>
        <v>0.35978179655139891</v>
      </c>
      <c r="F9" s="40">
        <f>'Asia excluding China 2015'!$L25/F$5*0.041872*-1</f>
        <v>0.31523957167795108</v>
      </c>
      <c r="G9" s="40">
        <f>'Asia excluding China 2018'!$L25/G$5*0.041872*-1</f>
        <v>0.28879454657622949</v>
      </c>
      <c r="H9" s="89">
        <f>1-H7-H8-H10-H11-H12-H13</f>
        <v>0.28879369681560701</v>
      </c>
      <c r="I9" s="89">
        <f>1-I7-I8-I10-I11-I12-I13</f>
        <v>0.28879369681560701</v>
      </c>
    </row>
    <row r="10" spans="1:11" x14ac:dyDescent="0.35">
      <c r="A10" s="30" t="s">
        <v>136</v>
      </c>
      <c r="B10" s="40">
        <f>'Asia excluding China 1995'!$L26/B$5*0.041872*-1</f>
        <v>3.6236989914037808E-2</v>
      </c>
      <c r="C10" s="40">
        <f>'Asia excluding China 2000'!$L26/C$5*0.041872*-1</f>
        <v>3.9679588711826003E-2</v>
      </c>
      <c r="D10" s="40">
        <f>'Asia excluding China 2005'!$L26/D$5*0.041872*-1</f>
        <v>4.3079440184416971E-2</v>
      </c>
      <c r="E10" s="40">
        <f>'Asia excluding China 2010'!$L26/E$5*0.041872*-1</f>
        <v>4.694337964560593E-2</v>
      </c>
      <c r="F10" s="40">
        <f>'Asia excluding China 2015'!$L26/F$5*0.041872*-1</f>
        <v>4.9163208839257573E-2</v>
      </c>
      <c r="G10" s="40">
        <f>'Asia excluding China 2018'!$L26/G$5*0.041872*-1</f>
        <v>5.3563811074420334E-2</v>
      </c>
      <c r="H10" s="88">
        <f t="shared" si="0"/>
        <v>5.3563811074420334E-2</v>
      </c>
      <c r="I10" s="88">
        <f t="shared" si="0"/>
        <v>5.3563811074420334E-2</v>
      </c>
    </row>
    <row r="11" spans="1:11" x14ac:dyDescent="0.35">
      <c r="A11" s="30" t="s">
        <v>137</v>
      </c>
      <c r="B11" s="40">
        <f>'Asia excluding China 1995'!$L27/B$5*0.041872*-1</f>
        <v>3.2782732403250595E-2</v>
      </c>
      <c r="C11" s="40">
        <f>'Asia excluding China 2000'!$L27/C$5*0.041872*-1</f>
        <v>3.3888529428125577E-2</v>
      </c>
      <c r="D11" s="40">
        <f>'Asia excluding China 2005'!$L27/D$5*0.041872*-1</f>
        <v>3.0797179208148284E-2</v>
      </c>
      <c r="E11" s="40">
        <f>'Asia excluding China 2010'!$L27/E$5*0.041872*-1</f>
        <v>2.9174970025005933E-2</v>
      </c>
      <c r="F11" s="40">
        <f>'Asia excluding China 2015'!$L27/F$5*0.041872*-1</f>
        <v>3.3565657552503375E-2</v>
      </c>
      <c r="G11" s="40">
        <f>'Asia excluding China 2018'!$L27/G$5*0.041872*-1</f>
        <v>3.4160377021792962E-2</v>
      </c>
      <c r="H11" s="88">
        <f t="shared" si="0"/>
        <v>3.4160377021792962E-2</v>
      </c>
      <c r="I11" s="88">
        <f t="shared" si="0"/>
        <v>3.4160377021792962E-2</v>
      </c>
    </row>
    <row r="12" spans="1:11" x14ac:dyDescent="0.35">
      <c r="A12" s="30" t="s">
        <v>138</v>
      </c>
      <c r="B12" s="40">
        <f>'Asia excluding China 1995'!$L28/B$5*0.041872*-1</f>
        <v>2.8989591931230241E-3</v>
      </c>
      <c r="C12" s="40">
        <f>'Asia excluding China 2000'!$L28/C$5*0.041872*-1</f>
        <v>1.7727433752682536E-3</v>
      </c>
      <c r="D12" s="40">
        <f>'Asia excluding China 2005'!$L28/D$5*0.041872*-1</f>
        <v>1.6323325565130449E-3</v>
      </c>
      <c r="E12" s="40">
        <f>'Asia excluding China 2010'!$L28/E$5*0.041872*-1</f>
        <v>1.6902062341769856E-3</v>
      </c>
      <c r="F12" s="40">
        <f>'Asia excluding China 2015'!$L28/F$5*0.041872*-1</f>
        <v>1.2986438434696372E-3</v>
      </c>
      <c r="G12" s="40">
        <f>'Asia excluding China 2018'!$L28/G$5*0.041872*-1</f>
        <v>1.0689988630202872E-3</v>
      </c>
      <c r="H12" s="88">
        <f t="shared" si="0"/>
        <v>1.0689988630202872E-3</v>
      </c>
      <c r="I12" s="88">
        <f t="shared" si="0"/>
        <v>1.0689988630202872E-3</v>
      </c>
    </row>
    <row r="13" spans="1:11" x14ac:dyDescent="0.35">
      <c r="A13" s="30" t="s">
        <v>139</v>
      </c>
      <c r="B13" s="40">
        <f>'Asia excluding China 1995'!$L29/B$5*0.041872*-1</f>
        <v>2.2346143780323312E-2</v>
      </c>
      <c r="C13" s="40">
        <f>'Asia excluding China 2000'!$L29/C$5*0.041872*-1</f>
        <v>1.9172270838883829E-2</v>
      </c>
      <c r="D13" s="40">
        <f>'Asia excluding China 2005'!$L29/D$5*0.041872*-1</f>
        <v>2.2194925503523467E-2</v>
      </c>
      <c r="E13" s="40">
        <f>'Asia excluding China 2010'!$L29/E$5*0.041872*-1</f>
        <v>2.2821411213393979E-2</v>
      </c>
      <c r="F13" s="40">
        <f>'Asia excluding China 2015'!$L29/F$5*0.041872*-1</f>
        <v>2.1252965497917931E-2</v>
      </c>
      <c r="G13" s="40">
        <f>'Asia excluding China 2018'!$L29/G$5*0.041872*-1</f>
        <v>1.8265604579190044E-2</v>
      </c>
      <c r="H13" s="88">
        <f t="shared" si="0"/>
        <v>1.8265604579190044E-2</v>
      </c>
      <c r="I13" s="88">
        <f t="shared" si="0"/>
        <v>1.8265604579190044E-2</v>
      </c>
    </row>
    <row r="14" spans="1:11" x14ac:dyDescent="0.35">
      <c r="A14" s="31" t="s">
        <v>140</v>
      </c>
      <c r="B14" s="81"/>
      <c r="C14" s="81"/>
      <c r="D14" s="81"/>
      <c r="E14" s="81"/>
      <c r="F14" s="81"/>
      <c r="G14" s="81"/>
      <c r="H14" s="42"/>
      <c r="I14" s="42"/>
    </row>
    <row r="15" spans="1:11" x14ac:dyDescent="0.35">
      <c r="A15" s="30" t="s">
        <v>141</v>
      </c>
      <c r="B15" s="40">
        <f>'Asia excluding China 1995'!$B23/'Asia excluding China 1995'!$L23</f>
        <v>0.29795146831011515</v>
      </c>
      <c r="C15" s="40">
        <f>'Asia excluding China 2000'!$B23/'Asia excluding China 2000'!$L23</f>
        <v>0.26697583247675283</v>
      </c>
      <c r="D15" s="40">
        <f>'Asia excluding China 2005'!$B23/'Asia excluding China 2005'!$L23</f>
        <v>0.30753789525998632</v>
      </c>
      <c r="E15" s="40">
        <f>'Asia excluding China 2010'!$B23/'Asia excluding China 2010'!$L23</f>
        <v>0.39769043578208202</v>
      </c>
      <c r="F15" s="40">
        <f>'Asia excluding China 2015'!$B23/'Asia excluding China 2015'!$L23</f>
        <v>0.35377778922692493</v>
      </c>
      <c r="G15" s="40">
        <f>'Asia excluding China 2018'!$B23/'Asia excluding China 2018'!$L23</f>
        <v>0.35363945546363357</v>
      </c>
      <c r="H15" s="77">
        <f t="shared" si="0"/>
        <v>0.35363945546363357</v>
      </c>
      <c r="I15" s="77">
        <f t="shared" si="0"/>
        <v>0.35363945546363357</v>
      </c>
    </row>
    <row r="16" spans="1:11" x14ac:dyDescent="0.35">
      <c r="A16" s="30" t="s">
        <v>142</v>
      </c>
      <c r="B16" s="40">
        <f>'Asia excluding China 1995'!$C23/'Asia excluding China 1995'!$L23</f>
        <v>0</v>
      </c>
      <c r="C16" s="40">
        <f>'Asia excluding China 2000'!$C23/'Asia excluding China 2000'!$L23</f>
        <v>0</v>
      </c>
      <c r="D16" s="40">
        <f>'Asia excluding China 2005'!$C23/'Asia excluding China 2005'!$L23</f>
        <v>0</v>
      </c>
      <c r="E16" s="40">
        <f>'Asia excluding China 2010'!$C23/'Asia excluding China 2010'!$L23</f>
        <v>0</v>
      </c>
      <c r="F16" s="40">
        <f>'Asia excluding China 2015'!$C23/'Asia excluding China 2015'!$L23</f>
        <v>0</v>
      </c>
      <c r="G16" s="40">
        <f>'Asia excluding China 2018'!$C23/'Asia excluding China 2018'!$L23</f>
        <v>0</v>
      </c>
      <c r="H16" s="77">
        <f t="shared" si="0"/>
        <v>0</v>
      </c>
      <c r="I16" s="77">
        <f t="shared" si="0"/>
        <v>0</v>
      </c>
    </row>
    <row r="17" spans="1:9" x14ac:dyDescent="0.35">
      <c r="A17" s="30" t="s">
        <v>143</v>
      </c>
      <c r="B17" s="40">
        <f>'Asia excluding China 1995'!$D23/'Asia excluding China 1995'!$L23</f>
        <v>0.23569019803032251</v>
      </c>
      <c r="C17" s="40">
        <f>'Asia excluding China 2000'!$D23/'Asia excluding China 2000'!$L23</f>
        <v>0.24056127937274402</v>
      </c>
      <c r="D17" s="40">
        <f>'Asia excluding China 2005'!$D23/'Asia excluding China 2005'!$L23</f>
        <v>0.19691557433062062</v>
      </c>
      <c r="E17" s="40">
        <f>'Asia excluding China 2010'!$D23/'Asia excluding China 2010'!$L23</f>
        <v>0.14263265177841833</v>
      </c>
      <c r="F17" s="40">
        <f>'Asia excluding China 2015'!$D23/'Asia excluding China 2015'!$L23</f>
        <v>0.16537005074834488</v>
      </c>
      <c r="G17" s="40">
        <f>'Asia excluding China 2018'!$D23/'Asia excluding China 2018'!$L23</f>
        <v>0.14765817507237686</v>
      </c>
      <c r="H17" s="77">
        <f t="shared" si="0"/>
        <v>0.14765817507237686</v>
      </c>
      <c r="I17" s="77">
        <f t="shared" si="0"/>
        <v>0.14765817507237686</v>
      </c>
    </row>
    <row r="18" spans="1:9" x14ac:dyDescent="0.35">
      <c r="A18" s="30" t="s">
        <v>241</v>
      </c>
      <c r="B18" s="40">
        <f>'Asia excluding China 1995'!$E23/'Asia excluding China 1995'!$L23</f>
        <v>6.1813870511322012E-2</v>
      </c>
      <c r="C18" s="40">
        <f>'Asia excluding China 2000'!$E23/'Asia excluding China 2000'!$L23</f>
        <v>8.7127387469222856E-2</v>
      </c>
      <c r="D18" s="40">
        <f>'Asia excluding China 2005'!$E23/'Asia excluding China 2005'!$L23</f>
        <v>0.1111231906566441</v>
      </c>
      <c r="E18" s="40">
        <f>'Asia excluding China 2010'!$E23/'Asia excluding China 2010'!$L23</f>
        <v>0.10037445111931252</v>
      </c>
      <c r="F18" s="40">
        <f>'Asia excluding China 2015'!$E23/'Asia excluding China 2015'!$L23</f>
        <v>9.9935598547103224E-2</v>
      </c>
      <c r="G18" s="40">
        <f>'Asia excluding China 2018'!$E23/'Asia excluding China 2018'!$L23</f>
        <v>0.11283998388502151</v>
      </c>
      <c r="H18" s="77">
        <f t="shared" si="0"/>
        <v>0.11283998388502151</v>
      </c>
      <c r="I18" s="77">
        <f t="shared" si="0"/>
        <v>0.11283998388502151</v>
      </c>
    </row>
    <row r="19" spans="1:9" x14ac:dyDescent="0.35">
      <c r="A19" s="30" t="s">
        <v>145</v>
      </c>
      <c r="B19" s="40">
        <f>'Asia excluding China 1995'!$H23/'Asia excluding China 1995'!$L23</f>
        <v>5.5924971058827475E-6</v>
      </c>
      <c r="C19" s="40">
        <f>'Asia excluding China 2000'!$H23/'Asia excluding China 2000'!$L23</f>
        <v>9.561829177921737E-6</v>
      </c>
      <c r="D19" s="40">
        <f>'Asia excluding China 2005'!$H23/'Asia excluding China 2005'!$L23</f>
        <v>2.3296266385040689E-5</v>
      </c>
      <c r="E19" s="40">
        <f>'Asia excluding China 2010'!$H23/'Asia excluding China 2010'!$L23</f>
        <v>5.3877858893887557E-5</v>
      </c>
      <c r="F19" s="40">
        <f>'Asia excluding China 2015'!$H23/'Asia excluding China 2015'!$L23</f>
        <v>1.0304232463484377E-4</v>
      </c>
      <c r="G19" s="40">
        <f>'Asia excluding China 2018'!$H23/'Asia excluding China 2018'!$L23</f>
        <v>1.4053760317802365E-4</v>
      </c>
      <c r="H19" s="77">
        <f t="shared" si="0"/>
        <v>1.4053760317802365E-4</v>
      </c>
      <c r="I19" s="77">
        <f t="shared" si="0"/>
        <v>1.4053760317802365E-4</v>
      </c>
    </row>
    <row r="20" spans="1:9" x14ac:dyDescent="0.35">
      <c r="A20" s="30" t="s">
        <v>146</v>
      </c>
      <c r="B20" s="40">
        <f>'Asia excluding China 1995'!$I23/'Asia excluding China 1995'!$L23</f>
        <v>0.24397268624413487</v>
      </c>
      <c r="C20" s="40">
        <f>'Asia excluding China 2000'!$I23/'Asia excluding China 2000'!$L23</f>
        <v>0.23068390983195086</v>
      </c>
      <c r="D20" s="40">
        <f>'Asia excluding China 2005'!$I23/'Asia excluding China 2005'!$L23</f>
        <v>0.19215148785487979</v>
      </c>
      <c r="E20" s="40">
        <f>'Asia excluding China 2010'!$I23/'Asia excluding China 2010'!$L23</f>
        <v>0.15896063623764925</v>
      </c>
      <c r="F20" s="40">
        <f>'Asia excluding China 2015'!$I23/'Asia excluding China 2015'!$L23</f>
        <v>0.16251062623972798</v>
      </c>
      <c r="G20" s="40">
        <f>'Asia excluding China 2018'!$I23/'Asia excluding China 2018'!$L23</f>
        <v>0.14679621110621832</v>
      </c>
      <c r="H20" s="77">
        <f t="shared" si="0"/>
        <v>0.14679621110621832</v>
      </c>
      <c r="I20" s="77">
        <f t="shared" si="0"/>
        <v>0.14679621110621832</v>
      </c>
    </row>
    <row r="21" spans="1:9" x14ac:dyDescent="0.35">
      <c r="A21" s="30" t="s">
        <v>147</v>
      </c>
      <c r="B21" s="40">
        <f>'Asia excluding China 1995'!$J23/'Asia excluding China 1995'!$L23</f>
        <v>0.15925194758711714</v>
      </c>
      <c r="C21" s="40">
        <f>'Asia excluding China 2000'!$J23/'Asia excluding China 2000'!$L23</f>
        <v>0.17370496976071523</v>
      </c>
      <c r="D21" s="40">
        <f>'Asia excluding China 2005'!$J23/'Asia excluding China 2005'!$L23</f>
        <v>0.18819500528048705</v>
      </c>
      <c r="E21" s="40">
        <f>'Asia excluding China 2010'!$J23/'Asia excluding China 2010'!$L23</f>
        <v>0.19546887206702407</v>
      </c>
      <c r="F21" s="40">
        <f>'Asia excluding China 2015'!$J23/'Asia excluding China 2015'!$L23</f>
        <v>0.21455472835467168</v>
      </c>
      <c r="G21" s="40">
        <f>'Asia excluding China 2018'!$J23/'Asia excluding China 2018'!$L23</f>
        <v>0.2339927669980231</v>
      </c>
      <c r="H21" s="89">
        <f>1-H15-H16-H17-H18-H19-H20-H22</f>
        <v>0.23399745158479576</v>
      </c>
      <c r="I21" s="89">
        <f>1-I15-I16-I17-I18-I19-I20-I22</f>
        <v>0.23399745158479576</v>
      </c>
    </row>
    <row r="22" spans="1:9" x14ac:dyDescent="0.35">
      <c r="A22" s="30" t="s">
        <v>148</v>
      </c>
      <c r="B22" s="40">
        <f>'Asia excluding China 1995'!$K23/'Asia excluding China 1995'!$L23</f>
        <v>1.3086443227765629E-3</v>
      </c>
      <c r="C22" s="40">
        <f>'Asia excluding China 2000'!$K23/'Asia excluding China 2000'!$L23</f>
        <v>9.3705925943633013E-4</v>
      </c>
      <c r="D22" s="40">
        <f>'Asia excluding China 2005'!$K23/'Asia excluding China 2005'!$L23</f>
        <v>4.0535503509970799E-3</v>
      </c>
      <c r="E22" s="40">
        <f>'Asia excluding China 2010'!$K23/'Asia excluding China 2010'!$L23</f>
        <v>4.8220683710029364E-3</v>
      </c>
      <c r="F22" s="40">
        <f>'Asia excluding China 2015'!$K23/'Asia excluding China 2015'!$L23</f>
        <v>3.7507406167083131E-3</v>
      </c>
      <c r="G22" s="40">
        <f>'Asia excluding China 2018'!$K23/'Asia excluding China 2018'!$L23</f>
        <v>4.9281852847760299E-3</v>
      </c>
      <c r="H22" s="77">
        <f t="shared" si="0"/>
        <v>4.9281852847760299E-3</v>
      </c>
      <c r="I22" s="77">
        <f t="shared" si="0"/>
        <v>4.9281852847760299E-3</v>
      </c>
    </row>
    <row r="23" spans="1:9" x14ac:dyDescent="0.35">
      <c r="A23" s="31" t="s">
        <v>149</v>
      </c>
      <c r="B23" s="81"/>
      <c r="C23" s="81"/>
      <c r="D23" s="81"/>
      <c r="E23" s="81"/>
      <c r="F23" s="81"/>
      <c r="G23" s="81"/>
      <c r="H23" s="42"/>
      <c r="I23" s="42"/>
    </row>
    <row r="24" spans="1:9" x14ac:dyDescent="0.35">
      <c r="A24" s="30" t="s">
        <v>141</v>
      </c>
      <c r="B24" s="40">
        <f>'Asia excluding China 1995'!$B24/'Asia excluding China 1995'!$L24</f>
        <v>1.4906152083312208E-3</v>
      </c>
      <c r="C24" s="40">
        <f>'Asia excluding China 2000'!$B24/'Asia excluding China 2000'!$L24</f>
        <v>2.1062031896341103E-4</v>
      </c>
      <c r="D24" s="40">
        <f>'Asia excluding China 2005'!$B24/'Asia excluding China 2005'!$L24</f>
        <v>7.0698858213439851E-6</v>
      </c>
      <c r="E24" s="40">
        <f>'Asia excluding China 2010'!$B24/'Asia excluding China 2010'!$L24</f>
        <v>1.768517178732777E-4</v>
      </c>
      <c r="F24" s="40">
        <f>'Asia excluding China 2015'!$B24/'Asia excluding China 2015'!$L24</f>
        <v>6.6518662642287574E-5</v>
      </c>
      <c r="G24" s="40">
        <f>'Asia excluding China 2018'!$B24/'Asia excluding China 2018'!$L24</f>
        <v>4.929056789775728E-5</v>
      </c>
      <c r="H24" s="77">
        <f t="shared" si="0"/>
        <v>4.929056789775728E-5</v>
      </c>
      <c r="I24" s="77">
        <f t="shared" si="0"/>
        <v>4.929056789775728E-5</v>
      </c>
    </row>
    <row r="25" spans="1:9" x14ac:dyDescent="0.35">
      <c r="A25" s="30" t="s">
        <v>143</v>
      </c>
      <c r="B25" s="40">
        <f>'Asia excluding China 1995'!$D24/'Asia excluding China 1995'!$L24</f>
        <v>0.9924353813237069</v>
      </c>
      <c r="C25" s="40">
        <f>'Asia excluding China 2000'!$D24/'Asia excluding China 2000'!$L24</f>
        <v>0.99086750296974646</v>
      </c>
      <c r="D25" s="40">
        <f>'Asia excluding China 2005'!$D24/'Asia excluding China 2005'!$L24</f>
        <v>0.97912969705539254</v>
      </c>
      <c r="E25" s="40">
        <f>'Asia excluding China 2010'!$D24/'Asia excluding China 2010'!$L24</f>
        <v>0.95002599184338443</v>
      </c>
      <c r="F25" s="40">
        <f>'Asia excluding China 2015'!$D24/'Asia excluding China 2015'!$L24</f>
        <v>0.94697215362485132</v>
      </c>
      <c r="G25" s="40">
        <f>'Asia excluding China 2018'!$D24/'Asia excluding China 2018'!$L24</f>
        <v>0.94108720909763055</v>
      </c>
      <c r="H25" s="89">
        <f>1-H24-H26-H27-H28-H29-H30</f>
        <v>0.94108720909763066</v>
      </c>
      <c r="I25" s="89">
        <f>1-I24-I26-I27-I28-I29-I30</f>
        <v>0.94108720909763066</v>
      </c>
    </row>
    <row r="26" spans="1:9" x14ac:dyDescent="0.35">
      <c r="A26" s="30" t="s">
        <v>241</v>
      </c>
      <c r="B26" s="40">
        <f>'Asia excluding China 1995'!$E24/'Asia excluding China 1995'!$L24</f>
        <v>2.3322550878651755E-4</v>
      </c>
      <c r="C26" s="40">
        <f>'Asia excluding China 2000'!$E24/'Asia excluding China 2000'!$L24</f>
        <v>1.7186618027414341E-3</v>
      </c>
      <c r="D26" s="40">
        <f>'Asia excluding China 2005'!$E24/'Asia excluding China 2005'!$L24</f>
        <v>1.2640955848563045E-2</v>
      </c>
      <c r="E26" s="40">
        <f>'Asia excluding China 2010'!$E24/'Asia excluding China 2010'!$L24</f>
        <v>3.6034877302421796E-2</v>
      </c>
      <c r="F26" s="40">
        <f>'Asia excluding China 2015'!$E24/'Asia excluding China 2015'!$L24</f>
        <v>3.2028736062261469E-2</v>
      </c>
      <c r="G26" s="40">
        <f>'Asia excluding China 2018'!$E24/'Asia excluding China 2018'!$L24</f>
        <v>2.8577967116149704E-2</v>
      </c>
      <c r="H26" s="90">
        <f t="shared" si="0"/>
        <v>2.8577967116149704E-2</v>
      </c>
      <c r="I26" s="90">
        <f t="shared" si="0"/>
        <v>2.8577967116149704E-2</v>
      </c>
    </row>
    <row r="27" spans="1:9" x14ac:dyDescent="0.35">
      <c r="A27" s="30" t="s">
        <v>145</v>
      </c>
      <c r="B27" s="40">
        <f>'Asia excluding China 1995'!$H24/'Asia excluding China 1995'!$L24</f>
        <v>0</v>
      </c>
      <c r="C27" s="40">
        <f>'Asia excluding China 2000'!$H24/'Asia excluding China 2000'!$L24</f>
        <v>0</v>
      </c>
      <c r="D27" s="40">
        <f>'Asia excluding China 2005'!$H24/'Asia excluding China 2005'!$L24</f>
        <v>0</v>
      </c>
      <c r="E27" s="40">
        <f>'Asia excluding China 2010'!$H24/'Asia excluding China 2010'!$L24</f>
        <v>0</v>
      </c>
      <c r="F27" s="40">
        <f>'Asia excluding China 2015'!$H24/'Asia excluding China 2015'!$L24</f>
        <v>0</v>
      </c>
      <c r="G27" s="40">
        <f>'Asia excluding China 2018'!$H24/'Asia excluding China 2018'!$L24</f>
        <v>0</v>
      </c>
      <c r="H27" s="77">
        <f t="shared" si="0"/>
        <v>0</v>
      </c>
      <c r="I27" s="77">
        <f t="shared" si="0"/>
        <v>0</v>
      </c>
    </row>
    <row r="28" spans="1:9" x14ac:dyDescent="0.35">
      <c r="A28" s="30" t="s">
        <v>146</v>
      </c>
      <c r="B28" s="40">
        <f>'Asia excluding China 1995'!$I24/'Asia excluding China 1995'!$L24</f>
        <v>0</v>
      </c>
      <c r="C28" s="40">
        <f>'Asia excluding China 2000'!$I24/'Asia excluding China 2000'!$L24</f>
        <v>5.8973689309755088E-4</v>
      </c>
      <c r="D28" s="40">
        <f>'Asia excluding China 2005'!$I24/'Asia excluding China 2005'!$L24</f>
        <v>9.6857435752412601E-4</v>
      </c>
      <c r="E28" s="40">
        <f>'Asia excluding China 2010'!$I24/'Asia excluding China 2010'!$L24</f>
        <v>5.9218529772718746E-3</v>
      </c>
      <c r="F28" s="40">
        <f>'Asia excluding China 2015'!$I24/'Asia excluding China 2015'!$L24</f>
        <v>1.3457556935817806E-2</v>
      </c>
      <c r="G28" s="40">
        <f>'Asia excluding China 2018'!$I24/'Asia excluding China 2018'!$L24</f>
        <v>2.3117276344048164E-2</v>
      </c>
      <c r="H28" s="77">
        <f t="shared" si="0"/>
        <v>2.3117276344048164E-2</v>
      </c>
      <c r="I28" s="77">
        <f t="shared" si="0"/>
        <v>2.3117276344048164E-2</v>
      </c>
    </row>
    <row r="29" spans="1:9" x14ac:dyDescent="0.35">
      <c r="A29" s="30" t="s">
        <v>147</v>
      </c>
      <c r="B29" s="40">
        <f>'Asia excluding China 1995'!$J24/'Asia excluding China 1995'!$L24</f>
        <v>5.8407779591753955E-3</v>
      </c>
      <c r="C29" s="40">
        <f>'Asia excluding China 2000'!$J24/'Asia excluding China 2000'!$L24</f>
        <v>6.6050532026925698E-3</v>
      </c>
      <c r="D29" s="40">
        <f>'Asia excluding China 2005'!$J24/'Asia excluding China 2005'!$L24</f>
        <v>7.2537028526989287E-3</v>
      </c>
      <c r="E29" s="40">
        <f>'Asia excluding China 2010'!$J24/'Asia excluding China 2010'!$L24</f>
        <v>7.8404261590486451E-3</v>
      </c>
      <c r="F29" s="40">
        <f>'Asia excluding China 2015'!$J24/'Asia excluding China 2015'!$L24</f>
        <v>7.4750347144270663E-3</v>
      </c>
      <c r="G29" s="40">
        <f>'Asia excluding China 2018'!$J24/'Asia excluding China 2018'!$L24</f>
        <v>7.1682568742738439E-3</v>
      </c>
      <c r="H29" s="77">
        <f>G29</f>
        <v>7.1682568742738439E-3</v>
      </c>
      <c r="I29" s="77">
        <f t="shared" si="0"/>
        <v>7.1682568742738439E-3</v>
      </c>
    </row>
    <row r="30" spans="1:9" x14ac:dyDescent="0.35">
      <c r="A30" s="30" t="s">
        <v>148</v>
      </c>
      <c r="B30" s="40">
        <f>'Asia excluding China 1995'!$K24/'Asia excluding China 1995'!$L24</f>
        <v>0</v>
      </c>
      <c r="C30" s="40">
        <f>'Asia excluding China 2000'!$K24/'Asia excluding China 2000'!$L24</f>
        <v>0</v>
      </c>
      <c r="D30" s="40">
        <f>'Asia excluding China 2005'!$K24/'Asia excluding China 2005'!$L24</f>
        <v>0</v>
      </c>
      <c r="E30" s="40">
        <f>'Asia excluding China 2010'!$K24/'Asia excluding China 2010'!$L24</f>
        <v>0</v>
      </c>
      <c r="F30" s="40">
        <f>'Asia excluding China 2015'!$K24/'Asia excluding China 2015'!$L24</f>
        <v>0</v>
      </c>
      <c r="G30" s="40">
        <f>'Asia excluding China 2018'!$K24/'Asia excluding China 2018'!$L24</f>
        <v>0</v>
      </c>
      <c r="H30" s="77">
        <f t="shared" si="0"/>
        <v>0</v>
      </c>
      <c r="I30" s="77">
        <f t="shared" si="0"/>
        <v>0</v>
      </c>
    </row>
    <row r="31" spans="1:9" x14ac:dyDescent="0.35">
      <c r="A31" s="31" t="s">
        <v>150</v>
      </c>
      <c r="B31" s="81"/>
      <c r="C31" s="81"/>
      <c r="D31" s="81"/>
      <c r="E31" s="81"/>
      <c r="F31" s="81"/>
      <c r="G31" s="81"/>
      <c r="H31" s="42"/>
      <c r="I31" s="42"/>
    </row>
    <row r="32" spans="1:9" x14ac:dyDescent="0.35">
      <c r="A32" s="30" t="s">
        <v>141</v>
      </c>
      <c r="B32" s="40">
        <f>'Asia excluding China 1995'!$B$25/'Asia excluding China 1995'!$L$25</f>
        <v>1.2085743242728361E-2</v>
      </c>
      <c r="C32" s="40">
        <f>'Asia excluding China 2000'!$B$25/'Asia excluding China 2000'!$L$25</f>
        <v>1.0983983267743622E-2</v>
      </c>
      <c r="D32" s="40">
        <f>'Asia excluding China 2005'!$B$25/'Asia excluding China 2005'!$L$25</f>
        <v>1.1297699285460903E-2</v>
      </c>
      <c r="E32" s="40">
        <f>'Asia excluding China 2010'!$B$25/'Asia excluding China 2010'!$L$25</f>
        <v>1.1993812989840976E-2</v>
      </c>
      <c r="F32" s="40">
        <f>'Asia excluding China 2015'!$B$25/'Asia excluding China 2015'!$L$25</f>
        <v>1.2586688809103349E-2</v>
      </c>
      <c r="G32" s="40">
        <f>'Asia excluding China 2018'!$B$25/'Asia excluding China 2018'!$L$25</f>
        <v>1.4123711946894843E-2</v>
      </c>
      <c r="H32" s="77">
        <f t="shared" si="0"/>
        <v>1.4123711946894843E-2</v>
      </c>
      <c r="I32" s="77">
        <f t="shared" si="0"/>
        <v>1.4123711946894843E-2</v>
      </c>
    </row>
    <row r="33" spans="1:9" x14ac:dyDescent="0.35">
      <c r="A33" s="30" t="s">
        <v>143</v>
      </c>
      <c r="B33" s="40">
        <f>'Asia excluding China 1995'!$D$25/'Asia excluding China 1995'!$L$25</f>
        <v>0.10173437273773328</v>
      </c>
      <c r="C33" s="40">
        <f>'Asia excluding China 2000'!$D$25/'Asia excluding China 2000'!$L$25</f>
        <v>0.11909348597847924</v>
      </c>
      <c r="D33" s="40">
        <f>'Asia excluding China 2005'!$D$25/'Asia excluding China 2005'!$L$25</f>
        <v>0.11758222267268029</v>
      </c>
      <c r="E33" s="40">
        <f>'Asia excluding China 2010'!$D$25/'Asia excluding China 2010'!$L$25</f>
        <v>0.10391181494272407</v>
      </c>
      <c r="F33" s="40">
        <f>'Asia excluding China 2015'!$D$25/'Asia excluding China 2015'!$L$25</f>
        <v>0.11942297121873063</v>
      </c>
      <c r="G33" s="40">
        <f>'Asia excluding China 2018'!$D$25/'Asia excluding China 2018'!$L$25</f>
        <v>0.12972040935225126</v>
      </c>
      <c r="H33" s="77">
        <f t="shared" si="0"/>
        <v>0.12972040935225126</v>
      </c>
      <c r="I33" s="77">
        <f t="shared" si="0"/>
        <v>0.12972040935225126</v>
      </c>
    </row>
    <row r="34" spans="1:9" x14ac:dyDescent="0.35">
      <c r="A34" s="30" t="s">
        <v>241</v>
      </c>
      <c r="B34" s="40">
        <f>'Asia excluding China 1995'!$E$25/'Asia excluding China 1995'!$L$25</f>
        <v>1.3887936355531171E-2</v>
      </c>
      <c r="C34" s="40">
        <f>'Asia excluding China 2000'!$E$25/'Asia excluding China 2000'!$L$25</f>
        <v>1.6463934832264635E-2</v>
      </c>
      <c r="D34" s="40">
        <f>'Asia excluding China 2005'!$E$25/'Asia excluding China 2005'!$L$25</f>
        <v>2.0071073835706683E-2</v>
      </c>
      <c r="E34" s="40">
        <f>'Asia excluding China 2010'!$E$25/'Asia excluding China 2010'!$L$25</f>
        <v>2.4759562070286508E-2</v>
      </c>
      <c r="F34" s="40">
        <f>'Asia excluding China 2015'!$E$25/'Asia excluding China 2015'!$L$25</f>
        <v>2.9690551650742046E-2</v>
      </c>
      <c r="G34" s="40">
        <f>'Asia excluding China 2018'!$E$25/'Asia excluding China 2018'!$L$25</f>
        <v>3.5538790186374146E-2</v>
      </c>
      <c r="H34" s="77">
        <f t="shared" si="0"/>
        <v>3.5538790186374146E-2</v>
      </c>
      <c r="I34" s="77">
        <f t="shared" si="0"/>
        <v>3.5538790186374146E-2</v>
      </c>
    </row>
    <row r="35" spans="1:9" x14ac:dyDescent="0.35">
      <c r="A35" s="30" t="s">
        <v>145</v>
      </c>
      <c r="B35" s="40">
        <f>'Asia excluding China 1995'!$H$25/'Asia excluding China 1995'!$L$25</f>
        <v>2.4765867300672868E-4</v>
      </c>
      <c r="C35" s="40">
        <f>'Asia excluding China 2000'!$H$25/'Asia excluding China 2000'!$L$25</f>
        <v>3.3368192200787077E-4</v>
      </c>
      <c r="D35" s="40">
        <f>'Asia excluding China 2005'!$H$25/'Asia excluding China 2005'!$L$25</f>
        <v>5.1943444990624837E-4</v>
      </c>
      <c r="E35" s="40">
        <f>'Asia excluding China 2010'!$H$25/'Asia excluding China 2010'!$L$25</f>
        <v>9.6780047180273002E-4</v>
      </c>
      <c r="F35" s="40">
        <f>'Asia excluding China 2015'!$H$25/'Asia excluding China 2015'!$L$25</f>
        <v>1.8448781971066696E-3</v>
      </c>
      <c r="G35" s="40">
        <f>'Asia excluding China 2018'!$H$25/'Asia excluding China 2018'!$L$25</f>
        <v>2.6334837900981009E-3</v>
      </c>
      <c r="H35" s="77">
        <f t="shared" si="0"/>
        <v>2.6334837900981009E-3</v>
      </c>
      <c r="I35" s="77">
        <f t="shared" si="0"/>
        <v>2.6334837900981009E-3</v>
      </c>
    </row>
    <row r="36" spans="1:9" x14ac:dyDescent="0.35">
      <c r="A36" s="30" t="s">
        <v>146</v>
      </c>
      <c r="B36" s="40">
        <f>'Asia excluding China 1995'!$I$25/'Asia excluding China 1995'!$L$25</f>
        <v>0.8191024849690236</v>
      </c>
      <c r="C36" s="40">
        <f>'Asia excluding China 2000'!$I$25/'Asia excluding China 2000'!$L$25</f>
        <v>0.78283842914935187</v>
      </c>
      <c r="D36" s="40">
        <f>'Asia excluding China 2005'!$I$25/'Asia excluding China 2005'!$L$25</f>
        <v>0.76334059696954337</v>
      </c>
      <c r="E36" s="40">
        <f>'Asia excluding China 2010'!$I$25/'Asia excluding China 2010'!$L$25</f>
        <v>0.74981493696335322</v>
      </c>
      <c r="F36" s="40">
        <f>'Asia excluding China 2015'!$I$25/'Asia excluding China 2015'!$L$25</f>
        <v>0.68184476124761717</v>
      </c>
      <c r="G36" s="40">
        <f>'Asia excluding China 2018'!$I$25/'Asia excluding China 2018'!$L$25</f>
        <v>0.62817857079804862</v>
      </c>
      <c r="H36" s="77">
        <f t="shared" si="0"/>
        <v>0.62817857079804862</v>
      </c>
      <c r="I36" s="77">
        <f t="shared" si="0"/>
        <v>0.62817857079804862</v>
      </c>
    </row>
    <row r="37" spans="1:9" x14ac:dyDescent="0.35">
      <c r="A37" s="30" t="s">
        <v>147</v>
      </c>
      <c r="B37" s="40">
        <f>'Asia excluding China 1995'!$J$25/'Asia excluding China 1995'!$L$25</f>
        <v>5.203880239886001E-2</v>
      </c>
      <c r="C37" s="40">
        <f>'Asia excluding China 2000'!$J$25/'Asia excluding China 2000'!$L$25</f>
        <v>6.9371439579491975E-2</v>
      </c>
      <c r="D37" s="40">
        <f>'Asia excluding China 2005'!$J$25/'Asia excluding China 2005'!$L$25</f>
        <v>8.6219784117974971E-2</v>
      </c>
      <c r="E37" s="40">
        <f>'Asia excluding China 2010'!$J$25/'Asia excluding China 2010'!$L$25</f>
        <v>0.10758427209018978</v>
      </c>
      <c r="F37" s="40">
        <f>'Asia excluding China 2015'!$J$25/'Asia excluding China 2015'!$L$25</f>
        <v>0.15342895903259382</v>
      </c>
      <c r="G37" s="40">
        <f>'Asia excluding China 2018'!$J$25/'Asia excluding China 2018'!$L$25</f>
        <v>0.1885956910908802</v>
      </c>
      <c r="H37" s="89">
        <f>1-H38-H36-H35-H34-H33-H32</f>
        <v>0.18859863353086911</v>
      </c>
      <c r="I37" s="89">
        <f>1-I38-I36-I35-I34-I33-I32</f>
        <v>0.18859863353086911</v>
      </c>
    </row>
    <row r="38" spans="1:9" x14ac:dyDescent="0.35">
      <c r="A38" s="30" t="s">
        <v>148</v>
      </c>
      <c r="B38" s="40">
        <f>'Asia excluding China 1995'!$K$25/'Asia excluding China 1995'!$L$25</f>
        <v>8.9919148968596878E-4</v>
      </c>
      <c r="C38" s="40">
        <f>'Asia excluding China 2000'!$K$25/'Asia excluding China 2000'!$L$25</f>
        <v>9.1504527066075896E-4</v>
      </c>
      <c r="D38" s="40">
        <f>'Asia excluding China 2005'!$K$25/'Asia excluding China 2005'!$L$25</f>
        <v>9.6602138549637664E-4</v>
      </c>
      <c r="E38" s="40">
        <f>'Asia excluding China 2010'!$K$25/'Asia excluding China 2010'!$L$25</f>
        <v>9.6780047180273002E-4</v>
      </c>
      <c r="F38" s="40">
        <f>'Asia excluding China 2015'!$K$25/'Asia excluding China 2015'!$L$25</f>
        <v>1.1811898441063304E-3</v>
      </c>
      <c r="G38" s="40">
        <f>'Asia excluding China 2018'!$K$25/'Asia excluding China 2018'!$L$25</f>
        <v>1.2064003954639344E-3</v>
      </c>
      <c r="H38" s="88">
        <f t="shared" si="0"/>
        <v>1.2064003954639344E-3</v>
      </c>
      <c r="I38" s="88">
        <f t="shared" si="0"/>
        <v>1.2064003954639344E-3</v>
      </c>
    </row>
    <row r="39" spans="1:9" x14ac:dyDescent="0.35">
      <c r="A39" s="31" t="s">
        <v>151</v>
      </c>
      <c r="B39" s="81"/>
      <c r="C39" s="81"/>
      <c r="D39" s="81"/>
      <c r="E39" s="81"/>
      <c r="F39" s="81"/>
      <c r="G39" s="81"/>
      <c r="H39" s="42"/>
      <c r="I39" s="42"/>
    </row>
    <row r="40" spans="1:9" x14ac:dyDescent="0.35">
      <c r="A40" s="30" t="s">
        <v>141</v>
      </c>
      <c r="B40" s="40">
        <f>'Asia excluding China 1995'!$B$26/'Asia excluding China 1995'!$L$26</f>
        <v>0.17148148148148148</v>
      </c>
      <c r="C40" s="40">
        <f>'Asia excluding China 2000'!$B$26/'Asia excluding China 2000'!$L$26</f>
        <v>0.10735630487714896</v>
      </c>
      <c r="D40" s="40">
        <f>'Asia excluding China 2005'!$B$26/'Asia excluding China 2005'!$L$26</f>
        <v>8.3548235845739074E-2</v>
      </c>
      <c r="E40" s="40">
        <f>'Asia excluding China 2010'!$B$26/'Asia excluding China 2010'!$L$26</f>
        <v>7.7948740590300006E-2</v>
      </c>
      <c r="F40" s="40">
        <f>'Asia excluding China 2015'!$B$26/'Asia excluding China 2015'!$L$26</f>
        <v>8.6368834480043497E-2</v>
      </c>
      <c r="G40" s="40">
        <f>'Asia excluding China 2018'!$B$26/'Asia excluding China 2018'!$L$26</f>
        <v>8.4383031379890214E-2</v>
      </c>
      <c r="H40" s="77">
        <f t="shared" si="0"/>
        <v>8.4383031379890214E-2</v>
      </c>
      <c r="I40" s="77">
        <f t="shared" si="0"/>
        <v>8.4383031379890214E-2</v>
      </c>
    </row>
    <row r="41" spans="1:9" x14ac:dyDescent="0.35">
      <c r="A41" s="30" t="s">
        <v>143</v>
      </c>
      <c r="B41" s="40">
        <f>'Asia excluding China 1995'!$D$26/'Asia excluding China 1995'!$L$26</f>
        <v>0.15611111111111112</v>
      </c>
      <c r="C41" s="40">
        <f>'Asia excluding China 2000'!$D$26/'Asia excluding China 2000'!$L$26</f>
        <v>0.19298310337194716</v>
      </c>
      <c r="D41" s="40">
        <f>'Asia excluding China 2005'!$D$26/'Asia excluding China 2005'!$L$26</f>
        <v>0.16741882546008674</v>
      </c>
      <c r="E41" s="40">
        <f>'Asia excluding China 2010'!$D$26/'Asia excluding China 2010'!$L$26</f>
        <v>0.16695732797633503</v>
      </c>
      <c r="F41" s="40">
        <f>'Asia excluding China 2015'!$D$26/'Asia excluding China 2015'!$L$26</f>
        <v>0.1648075589134062</v>
      </c>
      <c r="G41" s="40">
        <f>'Asia excluding China 2018'!$D$26/'Asia excluding China 2018'!$L$26</f>
        <v>0.17303360091379255</v>
      </c>
      <c r="H41" s="77">
        <f t="shared" si="0"/>
        <v>0.17303360091379255</v>
      </c>
      <c r="I41" s="77">
        <f t="shared" si="0"/>
        <v>0.17303360091379255</v>
      </c>
    </row>
    <row r="42" spans="1:9" x14ac:dyDescent="0.35">
      <c r="A42" s="30" t="s">
        <v>241</v>
      </c>
      <c r="B42" s="40">
        <f>'Asia excluding China 1995'!$E$26/'Asia excluding China 1995'!$L$26</f>
        <v>2.7962962962962964E-2</v>
      </c>
      <c r="C42" s="40">
        <f>'Asia excluding China 2000'!$E$26/'Asia excluding China 2000'!$L$26</f>
        <v>2.8111857153397771E-2</v>
      </c>
      <c r="D42" s="40">
        <f>'Asia excluding China 2005'!$E$26/'Asia excluding China 2005'!$L$26</f>
        <v>3.1619974211698508E-2</v>
      </c>
      <c r="E42" s="40">
        <f>'Asia excluding China 2010'!$E$26/'Asia excluding China 2010'!$L$26</f>
        <v>4.3003156802578421E-2</v>
      </c>
      <c r="F42" s="40">
        <f>'Asia excluding China 2015'!$E$26/'Asia excluding China 2015'!$L$26</f>
        <v>5.2286233853883507E-2</v>
      </c>
      <c r="G42" s="40">
        <f>'Asia excluding China 2018'!$E$26/'Asia excluding China 2018'!$L$26</f>
        <v>5.3415616968620107E-2</v>
      </c>
      <c r="H42" s="77">
        <f t="shared" si="0"/>
        <v>5.3415616968620107E-2</v>
      </c>
      <c r="I42" s="77">
        <f t="shared" si="0"/>
        <v>5.3415616968620107E-2</v>
      </c>
    </row>
    <row r="43" spans="1:9" x14ac:dyDescent="0.35">
      <c r="A43" s="30" t="s">
        <v>145</v>
      </c>
      <c r="B43" s="40">
        <f>'Asia excluding China 1995'!$H$26/'Asia excluding China 1995'!$L$26</f>
        <v>1.3888888888888889E-4</v>
      </c>
      <c r="C43" s="40">
        <f>'Asia excluding China 2000'!$H$26/'Asia excluding China 2000'!$L$26</f>
        <v>1.8446100494355495E-4</v>
      </c>
      <c r="D43" s="40">
        <f>'Asia excluding China 2005'!$H$26/'Asia excluding China 2005'!$L$26</f>
        <v>3.223537686086039E-4</v>
      </c>
      <c r="E43" s="40">
        <f>'Asia excluding China 2010'!$H$26/'Asia excluding China 2010'!$L$26</f>
        <v>6.8434181770016993E-4</v>
      </c>
      <c r="F43" s="40">
        <f>'Asia excluding China 2015'!$H$26/'Asia excluding China 2015'!$L$26</f>
        <v>1.274816745092893E-3</v>
      </c>
      <c r="G43" s="40">
        <f>'Asia excluding China 2018'!$H$26/'Asia excluding China 2018'!$L$26</f>
        <v>1.6340387727258306E-3</v>
      </c>
      <c r="H43" s="77">
        <f t="shared" si="0"/>
        <v>1.6340387727258306E-3</v>
      </c>
      <c r="I43" s="77">
        <f t="shared" si="0"/>
        <v>1.6340387727258306E-3</v>
      </c>
    </row>
    <row r="44" spans="1:9" x14ac:dyDescent="0.35">
      <c r="A44" s="30" t="s">
        <v>146</v>
      </c>
      <c r="B44" s="40">
        <f>'Asia excluding China 1995'!$I$26/'Asia excluding China 1995'!$L$26</f>
        <v>0.25907407407407407</v>
      </c>
      <c r="C44" s="40">
        <f>'Asia excluding China 2000'!$I$26/'Asia excluding China 2000'!$L$26</f>
        <v>0.23120342359625176</v>
      </c>
      <c r="D44" s="40">
        <f>'Asia excluding China 2005'!$I$26/'Asia excluding China 2005'!$L$26</f>
        <v>0.20932481537920525</v>
      </c>
      <c r="E44" s="40">
        <f>'Asia excluding China 2010'!$I$26/'Asia excluding China 2010'!$L$26</f>
        <v>0.16991545067220026</v>
      </c>
      <c r="F44" s="40">
        <f>'Asia excluding China 2015'!$I$26/'Asia excluding China 2015'!$L$26</f>
        <v>0.15220936990307643</v>
      </c>
      <c r="G44" s="40">
        <f>'Asia excluding China 2018'!$I$26/'Asia excluding China 2018'!$L$26</f>
        <v>0.13246819176952121</v>
      </c>
      <c r="H44" s="77">
        <f t="shared" si="0"/>
        <v>0.13246819176952121</v>
      </c>
      <c r="I44" s="77">
        <f t="shared" si="0"/>
        <v>0.13246819176952121</v>
      </c>
    </row>
    <row r="45" spans="1:9" x14ac:dyDescent="0.35">
      <c r="A45" s="30" t="s">
        <v>147</v>
      </c>
      <c r="B45" s="40">
        <f>'Asia excluding China 1995'!$J$26/'Asia excluding China 1995'!$L$26</f>
        <v>0.38009259259259259</v>
      </c>
      <c r="C45" s="40">
        <f>'Asia excluding China 2000'!$J$26/'Asia excluding China 2000'!$L$26</f>
        <v>0.43776285693204459</v>
      </c>
      <c r="D45" s="40">
        <f>'Asia excluding China 2005'!$J$26/'Asia excluding China 2005'!$L$26</f>
        <v>0.50372172078302657</v>
      </c>
      <c r="E45" s="40">
        <f>'Asia excluding China 2010'!$J$26/'Asia excluding China 2010'!$L$26</f>
        <v>0.53698757146956888</v>
      </c>
      <c r="F45" s="40">
        <f>'Asia excluding China 2015'!$J$26/'Asia excluding China 2015'!$L$26</f>
        <v>0.53754147841247824</v>
      </c>
      <c r="G45" s="40">
        <f>'Asia excluding China 2018'!$J$26/'Asia excluding China 2018'!$L$26</f>
        <v>0.54994130151981468</v>
      </c>
      <c r="H45" s="89">
        <f>1-H46-H44-H43-H42-H41-H40</f>
        <v>0.5499413015198148</v>
      </c>
      <c r="I45" s="89">
        <f>1-I46-I44-I43-I42-I41-I40</f>
        <v>0.5499413015198148</v>
      </c>
    </row>
    <row r="46" spans="1:9" x14ac:dyDescent="0.35">
      <c r="A46" s="30" t="s">
        <v>148</v>
      </c>
      <c r="B46" s="40">
        <f>'Asia excluding China 1995'!$K$26/'Asia excluding China 1995'!$L$26</f>
        <v>5.138888888888889E-3</v>
      </c>
      <c r="C46" s="40">
        <f>'Asia excluding China 2000'!$K$26/'Asia excluding China 2000'!$L$26</f>
        <v>2.4348852652549251E-3</v>
      </c>
      <c r="D46" s="40">
        <f>'Asia excluding China 2005'!$K$26/'Asia excluding China 2005'!$L$26</f>
        <v>4.0440745516352131E-3</v>
      </c>
      <c r="E46" s="40">
        <f>'Asia excluding China 2010'!$K$26/'Asia excluding China 2010'!$L$26</f>
        <v>4.5254862138237048E-3</v>
      </c>
      <c r="F46" s="40">
        <f>'Asia excluding China 2015'!$K$26/'Asia excluding China 2015'!$L$26</f>
        <v>5.511707692019272E-3</v>
      </c>
      <c r="G46" s="40">
        <f>'Asia excluding China 2018'!$K$26/'Asia excluding China 2018'!$L$26</f>
        <v>5.1242186756353713E-3</v>
      </c>
      <c r="H46" s="77">
        <f t="shared" si="0"/>
        <v>5.1242186756353713E-3</v>
      </c>
      <c r="I46" s="77">
        <f t="shared" si="0"/>
        <v>5.1242186756353713E-3</v>
      </c>
    </row>
    <row r="47" spans="1:9" x14ac:dyDescent="0.35">
      <c r="A47" s="31" t="s">
        <v>152</v>
      </c>
      <c r="B47" s="81"/>
      <c r="C47" s="81"/>
      <c r="D47" s="81"/>
      <c r="E47" s="81"/>
      <c r="F47" s="81"/>
      <c r="G47" s="81"/>
      <c r="H47" s="42"/>
      <c r="I47" s="42"/>
    </row>
    <row r="48" spans="1:9" x14ac:dyDescent="0.35">
      <c r="A48" s="30" t="s">
        <v>141</v>
      </c>
      <c r="B48" s="40">
        <f>'Asia excluding China 1995'!$B$27/'Asia excluding China 1995'!$L$27</f>
        <v>4.3498285655800628E-3</v>
      </c>
      <c r="C48" s="40">
        <f>'Asia excluding China 2000'!$B$27/'Asia excluding China 2000'!$L$27</f>
        <v>1.0799136069114472E-3</v>
      </c>
      <c r="D48" s="40">
        <f>'Asia excluding China 2005'!$B$27/'Asia excluding China 2005'!$L$27</f>
        <v>1.3527362164377946E-3</v>
      </c>
      <c r="E48" s="40">
        <f>'Asia excluding China 2010'!$B$27/'Asia excluding China 2010'!$L$27</f>
        <v>8.1696444428657692E-4</v>
      </c>
      <c r="F48" s="40">
        <f>'Asia excluding China 2015'!$B$27/'Asia excluding China 2015'!$L$27</f>
        <v>7.6885056840024165E-4</v>
      </c>
      <c r="G48" s="40">
        <f>'Asia excluding China 2018'!$B$27/'Asia excluding China 2018'!$L$27</f>
        <v>3.2338308457711441E-4</v>
      </c>
      <c r="H48" s="77">
        <f t="shared" si="0"/>
        <v>3.2338308457711441E-4</v>
      </c>
      <c r="I48" s="77">
        <f t="shared" si="0"/>
        <v>3.2338308457711441E-4</v>
      </c>
    </row>
    <row r="49" spans="1:9" x14ac:dyDescent="0.35">
      <c r="A49" s="30" t="s">
        <v>143</v>
      </c>
      <c r="B49" s="40">
        <f>'Asia excluding China 1995'!$D$27/'Asia excluding China 1995'!$L$27</f>
        <v>0.57392149838800466</v>
      </c>
      <c r="C49" s="40">
        <f>'Asia excluding China 2000'!$D$27/'Asia excluding China 2000'!$L$27</f>
        <v>0.64086393088552918</v>
      </c>
      <c r="D49" s="40">
        <f>'Asia excluding China 2005'!$D$27/'Asia excluding China 2005'!$L$27</f>
        <v>0.62430825988932159</v>
      </c>
      <c r="E49" s="40">
        <f>'Asia excluding China 2010'!$D$27/'Asia excluding China 2010'!$L$27</f>
        <v>0.55560686250133196</v>
      </c>
      <c r="F49" s="40">
        <f>'Asia excluding China 2015'!$D$27/'Asia excluding China 2015'!$L$27</f>
        <v>0.53185238069086715</v>
      </c>
      <c r="G49" s="40">
        <f>'Asia excluding China 2018'!$D$27/'Asia excluding China 2018'!$L$27</f>
        <v>0.47848258706467661</v>
      </c>
      <c r="H49" s="77">
        <f t="shared" si="0"/>
        <v>0.47848258706467661</v>
      </c>
      <c r="I49" s="77">
        <f t="shared" si="0"/>
        <v>0.47848258706467661</v>
      </c>
    </row>
    <row r="50" spans="1:9" x14ac:dyDescent="0.35">
      <c r="A50" s="30" t="s">
        <v>241</v>
      </c>
      <c r="B50" s="40">
        <f>'Asia excluding China 1995'!$E$27/'Asia excluding China 1995'!$L$27</f>
        <v>5.373317639834195E-3</v>
      </c>
      <c r="C50" s="40">
        <f>'Asia excluding China 2000'!$E$27/'Asia excluding China 2000'!$L$27</f>
        <v>6.0043196544276459E-3</v>
      </c>
      <c r="D50" s="40">
        <f>'Asia excluding China 2005'!$E$27/'Asia excluding China 2005'!$L$27</f>
        <v>5.9028489444558309E-3</v>
      </c>
      <c r="E50" s="40">
        <f>'Asia excluding China 2010'!$E$27/'Asia excluding China 2010'!$L$27</f>
        <v>6.5001953610627642E-3</v>
      </c>
      <c r="F50" s="40">
        <f>'Asia excluding China 2015'!$E$27/'Asia excluding China 2015'!$L$27</f>
        <v>4.9975286946015709E-3</v>
      </c>
      <c r="G50" s="40">
        <f>'Asia excluding China 2018'!$E$27/'Asia excluding China 2018'!$L$27</f>
        <v>4.7263681592039797E-3</v>
      </c>
      <c r="H50" s="77">
        <f t="shared" si="0"/>
        <v>4.7263681592039797E-3</v>
      </c>
      <c r="I50" s="77">
        <f t="shared" si="0"/>
        <v>4.7263681592039797E-3</v>
      </c>
    </row>
    <row r="51" spans="1:9" x14ac:dyDescent="0.35">
      <c r="A51" s="30" t="s">
        <v>145</v>
      </c>
      <c r="B51" s="40">
        <f>'Asia excluding China 1995'!$H$27/'Asia excluding China 1995'!$L$27</f>
        <v>0</v>
      </c>
      <c r="C51" s="40">
        <f>'Asia excluding China 2000'!$H$27/'Asia excluding China 2000'!$L$27</f>
        <v>0</v>
      </c>
      <c r="D51" s="40">
        <f>'Asia excluding China 2005'!$H$27/'Asia excluding China 2005'!$L$27</f>
        <v>0</v>
      </c>
      <c r="E51" s="40">
        <f>'Asia excluding China 2010'!$H$27/'Asia excluding China 2010'!$L$27</f>
        <v>0</v>
      </c>
      <c r="F51" s="40">
        <f>'Asia excluding China 2015'!$H$27/'Asia excluding China 2015'!$L$27</f>
        <v>0</v>
      </c>
      <c r="G51" s="40">
        <f>'Asia excluding China 2018'!$H$27/'Asia excluding China 2018'!$L$27</f>
        <v>0</v>
      </c>
      <c r="H51" s="77">
        <f t="shared" si="0"/>
        <v>0</v>
      </c>
      <c r="I51" s="77">
        <f t="shared" si="0"/>
        <v>0</v>
      </c>
    </row>
    <row r="52" spans="1:9" x14ac:dyDescent="0.35">
      <c r="A52" s="30" t="s">
        <v>146</v>
      </c>
      <c r="B52" s="40">
        <f>'Asia excluding China 1995'!$I$27/'Asia excluding China 1995'!$L$27</f>
        <v>2.0469781485082646E-4</v>
      </c>
      <c r="C52" s="40">
        <f>'Asia excluding China 2000'!$I$27/'Asia excluding China 2000'!$L$27</f>
        <v>3.0237580993520518E-4</v>
      </c>
      <c r="D52" s="40">
        <f>'Asia excluding China 2005'!$I$27/'Asia excluding China 2005'!$L$27</f>
        <v>3.2793605246976841E-4</v>
      </c>
      <c r="E52" s="40">
        <f>'Asia excluding China 2010'!$I$27/'Asia excluding China 2010'!$L$27</f>
        <v>3.1968173906866054E-4</v>
      </c>
      <c r="F52" s="40">
        <f>'Asia excluding China 2015'!$I$27/'Asia excluding China 2015'!$L$27</f>
        <v>8.7868636388599049E-3</v>
      </c>
      <c r="G52" s="40">
        <f>'Asia excluding China 2018'!$I$27/'Asia excluding China 2018'!$L$27</f>
        <v>8.3830845771144281E-3</v>
      </c>
      <c r="H52" s="77">
        <f t="shared" si="0"/>
        <v>8.3830845771144281E-3</v>
      </c>
      <c r="I52" s="77">
        <f t="shared" si="0"/>
        <v>8.3830845771144281E-3</v>
      </c>
    </row>
    <row r="53" spans="1:9" x14ac:dyDescent="0.35">
      <c r="A53" s="30" t="s">
        <v>147</v>
      </c>
      <c r="B53" s="40">
        <f>'Asia excluding China 1995'!$J$27/'Asia excluding China 1995'!$L$27</f>
        <v>0.41533186633232688</v>
      </c>
      <c r="C53" s="40">
        <f>'Asia excluding China 2000'!$J$27/'Asia excluding China 2000'!$L$27</f>
        <v>0.35157667386609071</v>
      </c>
      <c r="D53" s="40">
        <f>'Asia excluding China 2005'!$J$27/'Asia excluding China 2005'!$L$27</f>
        <v>0.36782127485140398</v>
      </c>
      <c r="E53" s="40">
        <f>'Asia excluding China 2010'!$J$27/'Asia excluding China 2010'!$L$27</f>
        <v>0.43661421518133059</v>
      </c>
      <c r="F53" s="40">
        <f>'Asia excluding China 2015'!$J$27/'Asia excluding China 2015'!$L$27</f>
        <v>0.45345708166291393</v>
      </c>
      <c r="G53" s="40">
        <f>'Asia excluding China 2018'!$J$27/'Asia excluding China 2018'!$L$27</f>
        <v>0.50791044776119398</v>
      </c>
      <c r="H53" s="89">
        <f>1-H54-H52-H51-H50-H49-H48</f>
        <v>0.50796019900497502</v>
      </c>
      <c r="I53" s="89">
        <f>1-I54-I52-I51-I50-I49-I48</f>
        <v>0.50796019900497502</v>
      </c>
    </row>
    <row r="54" spans="1:9" x14ac:dyDescent="0.35">
      <c r="A54" s="30" t="s">
        <v>148</v>
      </c>
      <c r="B54" s="40">
        <f>'Asia excluding China 1995'!$K$27/'Asia excluding China 1995'!$L$27</f>
        <v>7.6761680569059924E-4</v>
      </c>
      <c r="C54" s="40">
        <f>'Asia excluding China 2000'!$K$27/'Asia excluding China 2000'!$L$27</f>
        <v>1.2958963282937364E-4</v>
      </c>
      <c r="D54" s="40">
        <f>'Asia excluding China 2005'!$K$27/'Asia excluding China 2005'!$L$27</f>
        <v>2.8694404591104734E-4</v>
      </c>
      <c r="E54" s="40">
        <f>'Asia excluding China 2010'!$K$27/'Asia excluding China 2010'!$L$27</f>
        <v>1.4208077291940469E-4</v>
      </c>
      <c r="F54" s="40">
        <f>'Asia excluding China 2015'!$K$27/'Asia excluding China 2015'!$L$27</f>
        <v>1.3729474435718601E-4</v>
      </c>
      <c r="G54" s="40">
        <f>'Asia excluding China 2018'!$K$27/'Asia excluding China 2018'!$L$27</f>
        <v>1.2437810945273631E-4</v>
      </c>
      <c r="H54" s="77">
        <f t="shared" si="0"/>
        <v>1.2437810945273631E-4</v>
      </c>
      <c r="I54" s="77">
        <f t="shared" si="0"/>
        <v>1.2437810945273631E-4</v>
      </c>
    </row>
    <row r="55" spans="1:9" x14ac:dyDescent="0.35">
      <c r="A55" s="31" t="s">
        <v>153</v>
      </c>
      <c r="B55" s="81"/>
      <c r="C55" s="81"/>
      <c r="D55" s="81"/>
      <c r="E55" s="81"/>
      <c r="F55" s="81"/>
      <c r="G55" s="81"/>
      <c r="H55" s="42"/>
      <c r="I55" s="42"/>
    </row>
    <row r="56" spans="1:9" x14ac:dyDescent="0.35">
      <c r="A56" s="30" t="s">
        <v>141</v>
      </c>
      <c r="B56" s="40">
        <f>'Asia excluding China 1995'!$B$28/IF('Asia excluding China 1995'!$L$28=0,1,'Asia excluding China 1995'!$L$28)</f>
        <v>0</v>
      </c>
      <c r="C56" s="40">
        <f>'Asia excluding China 2000'!$B$28/'Asia excluding China 2000'!$L$28</f>
        <v>0</v>
      </c>
      <c r="D56" s="40">
        <f>'Asia excluding China 2005'!$B$28/'Asia excluding China 2005'!$L$28</f>
        <v>0</v>
      </c>
      <c r="E56" s="40">
        <f>'Asia excluding China 2010'!$B$28/'Asia excluding China 2010'!$L$28</f>
        <v>0</v>
      </c>
      <c r="F56" s="40">
        <f>'Asia excluding China 2015'!$B$28/'Asia excluding China 2015'!$L$28</f>
        <v>0</v>
      </c>
      <c r="G56" s="40">
        <f>'Asia excluding China 2018'!$B$28/'Asia excluding China 2018'!$L$28</f>
        <v>0</v>
      </c>
      <c r="H56" s="77">
        <f t="shared" si="0"/>
        <v>0</v>
      </c>
      <c r="I56" s="77">
        <f t="shared" si="0"/>
        <v>0</v>
      </c>
    </row>
    <row r="57" spans="1:9" x14ac:dyDescent="0.35">
      <c r="A57" s="30" t="s">
        <v>143</v>
      </c>
      <c r="B57" s="40">
        <f>'Asia excluding China 1995'!$D$28/IF('Asia excluding China 1995'!$L$28=0,1,'Asia excluding China 1995'!$L$28)</f>
        <v>0.91840277777777779</v>
      </c>
      <c r="C57" s="40">
        <f>'Asia excluding China 2000'!$D$28/'Asia excluding China 2000'!$L$28</f>
        <v>0.92650701899256815</v>
      </c>
      <c r="D57" s="40">
        <f>'Asia excluding China 2005'!$D$28/'Asia excluding China 2005'!$L$28</f>
        <v>0.92884764114462492</v>
      </c>
      <c r="E57" s="40">
        <f>'Asia excluding China 2010'!$D$28/'Asia excluding China 2010'!$L$28</f>
        <v>0.94114040465971793</v>
      </c>
      <c r="F57" s="40">
        <f>'Asia excluding China 2015'!$D$28/'Asia excluding China 2015'!$L$28</f>
        <v>0.92122072391767207</v>
      </c>
      <c r="G57" s="40">
        <f>'Asia excluding China 2018'!$D$28/'Asia excluding China 2018'!$L$28</f>
        <v>0.90858505564387915</v>
      </c>
      <c r="H57" s="77">
        <f t="shared" si="0"/>
        <v>0.90858505564387915</v>
      </c>
      <c r="I57" s="77">
        <f t="shared" si="0"/>
        <v>0.90858505564387915</v>
      </c>
    </row>
    <row r="58" spans="1:9" x14ac:dyDescent="0.35">
      <c r="A58" s="30" t="s">
        <v>241</v>
      </c>
      <c r="B58" s="40">
        <f>'Asia excluding China 1995'!$E$28/IF('Asia excluding China 1995'!$L$28=0,1,'Asia excluding China 1995'!$L$28)</f>
        <v>0</v>
      </c>
      <c r="C58" s="40">
        <f>'Asia excluding China 2000'!$E$28/'Asia excluding China 2000'!$L$28</f>
        <v>0</v>
      </c>
      <c r="D58" s="40">
        <f>'Asia excluding China 2005'!$E$28/'Asia excluding China 2005'!$L$28</f>
        <v>0</v>
      </c>
      <c r="E58" s="40">
        <f>'Asia excluding China 2010'!$E$28/'Asia excluding China 2010'!$L$28</f>
        <v>0</v>
      </c>
      <c r="F58" s="40">
        <f>'Asia excluding China 2015'!$E$28/'Asia excluding China 2015'!$L$28</f>
        <v>0</v>
      </c>
      <c r="G58" s="40">
        <f>'Asia excluding China 2018'!$E$28/'Asia excluding China 2018'!$L$28</f>
        <v>0</v>
      </c>
      <c r="H58" s="77">
        <f t="shared" si="0"/>
        <v>0</v>
      </c>
      <c r="I58" s="77">
        <f t="shared" si="0"/>
        <v>0</v>
      </c>
    </row>
    <row r="59" spans="1:9" x14ac:dyDescent="0.35">
      <c r="A59" s="30" t="s">
        <v>145</v>
      </c>
      <c r="B59" s="40">
        <f>'Asia excluding China 1995'!$H$28/IF('Asia excluding China 1995'!$L$28=0,1,'Asia excluding China 1995'!$L$28)</f>
        <v>0</v>
      </c>
      <c r="C59" s="40">
        <f>'Asia excluding China 2000'!$H$28/'Asia excluding China 2000'!$L$28</f>
        <v>0</v>
      </c>
      <c r="D59" s="40">
        <f>'Asia excluding China 2005'!$H$28/'Asia excluding China 2005'!$L$28</f>
        <v>0</v>
      </c>
      <c r="E59" s="40">
        <f>'Asia excluding China 2010'!$H$28/'Asia excluding China 2010'!$L$28</f>
        <v>0</v>
      </c>
      <c r="F59" s="40">
        <f>'Asia excluding China 2015'!$H$28/'Asia excluding China 2015'!$L$28</f>
        <v>0</v>
      </c>
      <c r="G59" s="40">
        <f>'Asia excluding China 2018'!$H$28/'Asia excluding China 2018'!$L$28</f>
        <v>0</v>
      </c>
      <c r="H59" s="77">
        <f t="shared" si="0"/>
        <v>0</v>
      </c>
      <c r="I59" s="77">
        <f t="shared" si="0"/>
        <v>0</v>
      </c>
    </row>
    <row r="60" spans="1:9" x14ac:dyDescent="0.35">
      <c r="A60" s="30" t="s">
        <v>146</v>
      </c>
      <c r="B60" s="40">
        <f>'Asia excluding China 1995'!$I$28/IF('Asia excluding China 1995'!$L$28=0,1,'Asia excluding China 1995'!$L$28)</f>
        <v>0</v>
      </c>
      <c r="C60" s="40">
        <f>'Asia excluding China 2000'!$I$28/'Asia excluding China 2000'!$L$28</f>
        <v>0</v>
      </c>
      <c r="D60" s="40">
        <f>'Asia excluding China 2005'!$I$28/'Asia excluding China 2005'!$L$28</f>
        <v>0</v>
      </c>
      <c r="E60" s="40">
        <f>'Asia excluding China 2010'!$I$28/'Asia excluding China 2010'!$L$28</f>
        <v>2.452483139178418E-3</v>
      </c>
      <c r="F60" s="40">
        <f>'Asia excluding China 2015'!$I$28/'Asia excluding China 2015'!$L$28</f>
        <v>2.1291696238466998E-3</v>
      </c>
      <c r="G60" s="40">
        <f>'Asia excluding China 2018'!$I$28/'Asia excluding China 2018'!$L$28</f>
        <v>2.3847376788553257E-3</v>
      </c>
      <c r="H60" s="77">
        <f t="shared" si="0"/>
        <v>2.3847376788553257E-3</v>
      </c>
      <c r="I60" s="77">
        <f t="shared" si="0"/>
        <v>2.3847376788553257E-3</v>
      </c>
    </row>
    <row r="61" spans="1:9" x14ac:dyDescent="0.35">
      <c r="A61" s="30" t="s">
        <v>147</v>
      </c>
      <c r="B61" s="40">
        <f>'Asia excluding China 1995'!$J$28/IF('Asia excluding China 1995'!$L$28=0,1,'Asia excluding China 1995'!$L$28)</f>
        <v>8.1597222222222224E-2</v>
      </c>
      <c r="C61" s="40">
        <f>'Asia excluding China 2000'!$J$28/'Asia excluding China 2000'!$L$28</f>
        <v>7.3492981007431873E-2</v>
      </c>
      <c r="D61" s="40">
        <f>'Asia excluding China 2005'!$J$28/'Asia excluding China 2005'!$L$28</f>
        <v>7.1152358855375103E-2</v>
      </c>
      <c r="E61" s="40">
        <f>'Asia excluding China 2010'!$J$28/'Asia excluding China 2010'!$L$28</f>
        <v>5.6407112201103615E-2</v>
      </c>
      <c r="F61" s="40">
        <f>'Asia excluding China 2015'!$J$28/'Asia excluding China 2015'!$L$28</f>
        <v>7.6650106458481193E-2</v>
      </c>
      <c r="G61" s="40">
        <f>'Asia excluding China 2018'!$J$28/'Asia excluding China 2018'!$L$28</f>
        <v>8.9030206677265494E-2</v>
      </c>
      <c r="H61" s="89">
        <f>1-H62-H60-H59-H58-H57-H56</f>
        <v>8.9030206677265578E-2</v>
      </c>
      <c r="I61" s="89">
        <f>1-I62-I60-I59-I58-I57-I56</f>
        <v>8.9030206677265578E-2</v>
      </c>
    </row>
    <row r="62" spans="1:9" x14ac:dyDescent="0.35">
      <c r="A62" s="30" t="s">
        <v>148</v>
      </c>
      <c r="B62" s="40">
        <f>'Asia excluding China 1995'!$K$28/IF('Asia excluding China 1995'!$L$28=0,1,'Asia excluding China 1995'!$L$28)</f>
        <v>0</v>
      </c>
      <c r="C62" s="40">
        <f>'Asia excluding China 2000'!$K$28/'Asia excluding China 2000'!$L$28</f>
        <v>0</v>
      </c>
      <c r="D62" s="40">
        <f>'Asia excluding China 2005'!$K$28/'Asia excluding China 2005'!$L$28</f>
        <v>0</v>
      </c>
      <c r="E62" s="40">
        <f>'Asia excluding China 2010'!$K$28/'Asia excluding China 2010'!$L$28</f>
        <v>0</v>
      </c>
      <c r="F62" s="40">
        <f>'Asia excluding China 2015'!$K$28/'Asia excluding China 2015'!$L$28</f>
        <v>0</v>
      </c>
      <c r="G62" s="40">
        <f>'Asia excluding China 2018'!$K$28/'Asia excluding China 2018'!$L$28</f>
        <v>0</v>
      </c>
      <c r="H62" s="77">
        <f t="shared" si="0"/>
        <v>0</v>
      </c>
      <c r="I62" s="77">
        <f t="shared" si="0"/>
        <v>0</v>
      </c>
    </row>
    <row r="63" spans="1:9" x14ac:dyDescent="0.35">
      <c r="A63" s="31" t="s">
        <v>154</v>
      </c>
      <c r="B63" s="81"/>
      <c r="C63" s="81"/>
      <c r="D63" s="81"/>
      <c r="E63" s="81"/>
      <c r="F63" s="81"/>
      <c r="G63" s="81"/>
      <c r="H63" s="42"/>
      <c r="I63" s="42"/>
    </row>
    <row r="64" spans="1:9" x14ac:dyDescent="0.35">
      <c r="A64" s="30" t="s">
        <v>141</v>
      </c>
      <c r="B64" s="40">
        <f>'Asia excluding China 1995'!$B$29/'Asia excluding China 1995'!$L$29</f>
        <v>0.56974474474474479</v>
      </c>
      <c r="C64" s="40">
        <f>'Asia excluding China 2000'!$B$29/'Asia excluding China 2000'!$L$29</f>
        <v>0.44124608689012751</v>
      </c>
      <c r="D64" s="40">
        <f>'Asia excluding China 2005'!$B$29/'Asia excluding China 2005'!$L$29</f>
        <v>0.39008020021614243</v>
      </c>
      <c r="E64" s="40">
        <f>'Asia excluding China 2010'!$B$29/'Asia excluding China 2010'!$L$29</f>
        <v>0.40468622286804107</v>
      </c>
      <c r="F64" s="40">
        <f>'Asia excluding China 2015'!$B$29/'Asia excluding China 2015'!$L$29</f>
        <v>0.24428639576737934</v>
      </c>
      <c r="G64" s="40">
        <f>'Asia excluding China 2018'!$B$29/'Asia excluding China 2018'!$L$29</f>
        <v>0.28183298441498023</v>
      </c>
      <c r="H64" s="77">
        <f t="shared" si="0"/>
        <v>0.28183298441498023</v>
      </c>
      <c r="I64" s="77">
        <f t="shared" si="0"/>
        <v>0.28183298441498023</v>
      </c>
    </row>
    <row r="65" spans="1:9" x14ac:dyDescent="0.35">
      <c r="A65" s="30" t="s">
        <v>143</v>
      </c>
      <c r="B65" s="40">
        <f>'Asia excluding China 1995'!$D$29/'Asia excluding China 1995'!$L$29</f>
        <v>0.13160660660660661</v>
      </c>
      <c r="C65" s="40">
        <f>'Asia excluding China 2000'!$D$29/'Asia excluding China 2000'!$L$29</f>
        <v>0.21630907841490418</v>
      </c>
      <c r="D65" s="40">
        <f>'Asia excluding China 2005'!$D$29/'Asia excluding China 2005'!$L$29</f>
        <v>0.27586599169558046</v>
      </c>
      <c r="E65" s="40">
        <f>'Asia excluding China 2010'!$D$29/'Asia excluding China 2010'!$L$29</f>
        <v>0.30346925801471258</v>
      </c>
      <c r="F65" s="40">
        <f>'Asia excluding China 2015'!$D$29/'Asia excluding China 2015'!$L$29</f>
        <v>0.30807927490350839</v>
      </c>
      <c r="G65" s="40">
        <f>'Asia excluding China 2018'!$D$29/'Asia excluding China 2018'!$L$29</f>
        <v>0.32886717841358454</v>
      </c>
      <c r="H65" s="77">
        <f t="shared" si="0"/>
        <v>0.32886717841358454</v>
      </c>
      <c r="I65" s="77">
        <f t="shared" si="0"/>
        <v>0.32886717841358454</v>
      </c>
    </row>
    <row r="66" spans="1:9" x14ac:dyDescent="0.35">
      <c r="A66" s="30" t="s">
        <v>241</v>
      </c>
      <c r="B66" s="40">
        <f>'Asia excluding China 1995'!$E$29/'Asia excluding China 1995'!$L$29</f>
        <v>1.4039039039039039E-2</v>
      </c>
      <c r="C66" s="40">
        <f>'Asia excluding China 2000'!$E$29/'Asia excluding China 2000'!$L$29</f>
        <v>5.2683820722302819E-3</v>
      </c>
      <c r="D66" s="40">
        <f>'Asia excluding China 2005'!$E$29/'Asia excluding China 2005'!$L$29</f>
        <v>4.3228485296627041E-3</v>
      </c>
      <c r="E66" s="40">
        <f>'Asia excluding China 2010'!$E$29/'Asia excluding China 2010'!$L$29</f>
        <v>1.1806375442739079E-3</v>
      </c>
      <c r="F66" s="40">
        <f>'Asia excluding China 2015'!$E$29/'Asia excluding China 2015'!$L$29</f>
        <v>1.1275423912572098E-3</v>
      </c>
      <c r="G66" s="40">
        <f>'Asia excluding China 2018'!$E$29/'Asia excluding China 2018'!$L$29</f>
        <v>2.3726448011165387E-3</v>
      </c>
      <c r="H66" s="77">
        <f t="shared" si="0"/>
        <v>2.3726448011165387E-3</v>
      </c>
      <c r="I66" s="77">
        <f t="shared" si="0"/>
        <v>2.3726448011165387E-3</v>
      </c>
    </row>
    <row r="67" spans="1:9" x14ac:dyDescent="0.35">
      <c r="A67" s="30" t="s">
        <v>145</v>
      </c>
      <c r="B67" s="40">
        <f>'Asia excluding China 1995'!$H$29/'Asia excluding China 1995'!$L$29</f>
        <v>7.5075075075075072E-5</v>
      </c>
      <c r="C67" s="40">
        <f>'Asia excluding China 2000'!$H$29/'Asia excluding China 2000'!$L$29</f>
        <v>1.5270672673131251E-4</v>
      </c>
      <c r="D67" s="40">
        <f>'Asia excluding China 2005'!$H$29/'Asia excluding China 2005'!$L$29</f>
        <v>2.8439792958307266E-4</v>
      </c>
      <c r="E67" s="40">
        <f>'Asia excluding China 2010'!$H$29/'Asia excluding China 2010'!$L$29</f>
        <v>6.8113704477340846E-4</v>
      </c>
      <c r="F67" s="40">
        <f>'Asia excluding China 2015'!$H$29/'Asia excluding China 2015'!$L$29</f>
        <v>1.4311114965956894E-3</v>
      </c>
      <c r="G67" s="40">
        <f>'Asia excluding China 2018'!$H$29/'Asia excluding China 2018'!$L$29</f>
        <v>2.3261223540358223E-3</v>
      </c>
      <c r="H67" s="77">
        <f t="shared" si="0"/>
        <v>2.3261223540358223E-3</v>
      </c>
      <c r="I67" s="77">
        <f t="shared" si="0"/>
        <v>2.3261223540358223E-3</v>
      </c>
    </row>
    <row r="68" spans="1:9" x14ac:dyDescent="0.35">
      <c r="A68" s="30" t="s">
        <v>146</v>
      </c>
      <c r="B68" s="40">
        <f>'Asia excluding China 1995'!$I$29/'Asia excluding China 1995'!$L$29</f>
        <v>5.6906906906906904E-2</v>
      </c>
      <c r="C68" s="40">
        <f>'Asia excluding China 2000'!$I$29/'Asia excluding China 2000'!$L$29</f>
        <v>5.5890661983660384E-2</v>
      </c>
      <c r="D68" s="40">
        <f>'Asia excluding China 2005'!$I$29/'Asia excluding China 2005'!$L$29</f>
        <v>4.3114726124793813E-2</v>
      </c>
      <c r="E68" s="40">
        <f>'Asia excluding China 2010'!$I$29/'Asia excluding China 2010'!$L$29</f>
        <v>3.5146671510307877E-2</v>
      </c>
      <c r="F68" s="40">
        <f>'Asia excluding China 2015'!$I$29/'Asia excluding China 2015'!$L$29</f>
        <v>3.386963875276465E-2</v>
      </c>
      <c r="G68" s="40">
        <f>'Asia excluding China 2018'!$I$29/'Asia excluding China 2018'!$L$29</f>
        <v>3.6659688299604559E-2</v>
      </c>
      <c r="H68" s="77">
        <f t="shared" si="0"/>
        <v>3.6659688299604559E-2</v>
      </c>
      <c r="I68" s="77">
        <f t="shared" si="0"/>
        <v>3.6659688299604559E-2</v>
      </c>
    </row>
    <row r="69" spans="1:9" x14ac:dyDescent="0.35">
      <c r="A69" s="30" t="s">
        <v>147</v>
      </c>
      <c r="B69" s="40">
        <f>'Asia excluding China 1995'!$J$29/'Asia excluding China 1995'!$L$29</f>
        <v>0.22762762762762762</v>
      </c>
      <c r="C69" s="40">
        <f>'Asia excluding China 2000'!$J$29/'Asia excluding China 2000'!$L$29</f>
        <v>0.28120943727571202</v>
      </c>
      <c r="D69" s="40">
        <f>'Asia excluding China 2005'!$J$29/'Asia excluding China 2005'!$L$29</f>
        <v>0.28399977248165631</v>
      </c>
      <c r="E69" s="40">
        <f>'Asia excluding China 2010'!$J$29/'Asia excluding China 2010'!$L$29</f>
        <v>0.2536554354736173</v>
      </c>
      <c r="F69" s="40">
        <f>'Asia excluding China 2015'!$J$29/'Asia excluding China 2015'!$L$29</f>
        <v>0.40986165922199574</v>
      </c>
      <c r="G69" s="40">
        <f>'Asia excluding China 2018'!$J$29/'Asia excluding China 2018'!$L$29</f>
        <v>0.34626657362177249</v>
      </c>
      <c r="H69" s="89">
        <f>1-H70-H68-H67-H66-H65-H64</f>
        <v>0.34626657362177254</v>
      </c>
      <c r="I69" s="89">
        <f>1-I70-I68-I67-I66-I65-I64</f>
        <v>0.34626657362177254</v>
      </c>
    </row>
    <row r="70" spans="1:9" x14ac:dyDescent="0.35">
      <c r="A70" s="30" t="s">
        <v>148</v>
      </c>
      <c r="B70" s="40">
        <f>'Asia excluding China 1995'!$K$29/'Asia excluding China 1995'!$L$29</f>
        <v>0</v>
      </c>
      <c r="C70" s="40">
        <f>'Asia excluding China 2000'!$K$29/'Asia excluding China 2000'!$L$29</f>
        <v>0</v>
      </c>
      <c r="D70" s="40">
        <f>'Asia excluding China 2005'!$K$29/'Asia excluding China 2005'!$L$29</f>
        <v>2.3320630225811957E-3</v>
      </c>
      <c r="E70" s="40">
        <f>'Asia excluding China 2010'!$K$29/'Asia excluding China 2010'!$L$29</f>
        <v>1.2714558169103624E-3</v>
      </c>
      <c r="F70" s="40">
        <f>'Asia excluding China 2015'!$K$29/'Asia excluding China 2015'!$L$29</f>
        <v>1.387744481547335E-3</v>
      </c>
      <c r="G70" s="40">
        <f>'Asia excluding China 2018'!$K$29/'Asia excluding China 2018'!$L$29</f>
        <v>1.6748080949057921E-3</v>
      </c>
      <c r="H70" s="77">
        <f t="shared" ref="H70:I132" si="1">G70</f>
        <v>1.6748080949057921E-3</v>
      </c>
      <c r="I70" s="77">
        <f t="shared" si="1"/>
        <v>1.6748080949057921E-3</v>
      </c>
    </row>
    <row r="71" spans="1:9" x14ac:dyDescent="0.35">
      <c r="A71" s="38" t="s">
        <v>155</v>
      </c>
      <c r="B71" s="42"/>
      <c r="C71" s="42"/>
      <c r="D71" s="42"/>
      <c r="E71" s="42"/>
      <c r="F71" s="42"/>
      <c r="G71" s="42"/>
      <c r="H71" s="42"/>
      <c r="I71" s="42"/>
    </row>
    <row r="72" spans="1:9" x14ac:dyDescent="0.35">
      <c r="A72" s="30" t="s">
        <v>147</v>
      </c>
      <c r="B72" s="40">
        <f>'Asia excluding China 1995'!$J21/IF('Asia excluding China 1995'!$J22=0,1,'Asia excluding China 1995'!$J22)*-1</f>
        <v>0.18802443337084071</v>
      </c>
      <c r="C72" s="40">
        <f>'Asia excluding China 2000'!$J21/IF('Asia excluding China 2000'!$J22=0,1,'Asia excluding China 2000'!$J22)*-1</f>
        <v>0.23933827611305067</v>
      </c>
      <c r="D72" s="40">
        <f>'Asia excluding China 2005'!$J21/IF('Asia excluding China 2005'!$J22=0,1,'Asia excluding China 2005'!$J22)*-1</f>
        <v>0.2148937155559672</v>
      </c>
      <c r="E72" s="40">
        <f>'Asia excluding China 2010'!$J21/IF('Asia excluding China 2010'!$J22=0,1,'Asia excluding China 2010'!$J22)*-1</f>
        <v>0.16887161659142289</v>
      </c>
      <c r="F72" s="40">
        <f>'Asia excluding China 2015'!$J21/IF('Asia excluding China 2015'!$J22=0,1,'Asia excluding China 2015'!$J22)*-1</f>
        <v>0.15712294860328224</v>
      </c>
      <c r="G72" s="40">
        <f>'Asia excluding China 2018'!$J21/IF('Asia excluding China 2018'!$J22=0,1,'Asia excluding China 2018'!$J22)*-1</f>
        <v>0.14945620088424755</v>
      </c>
      <c r="H72" s="77">
        <f t="shared" si="1"/>
        <v>0.14945620088424755</v>
      </c>
      <c r="I72" s="77">
        <f t="shared" si="1"/>
        <v>0.14945620088424755</v>
      </c>
    </row>
    <row r="73" spans="1:9" x14ac:dyDescent="0.35">
      <c r="A73" s="30" t="s">
        <v>148</v>
      </c>
      <c r="B73" s="40">
        <f>'Asia excluding China 1995'!$K21/IF('Asia excluding China 1995'!$K22=0,1,'Asia excluding China 1995'!$K22)*-1</f>
        <v>4.6979865771812082E-2</v>
      </c>
      <c r="C73" s="40">
        <f>'Asia excluding China 2000'!$K21/IF('Asia excluding China 2000'!$K22=0,1,'Asia excluding China 2000'!$K22)*-1</f>
        <v>4.3396226415094337E-2</v>
      </c>
      <c r="D73" s="40">
        <f>'Asia excluding China 2005'!$K21/IF('Asia excluding China 2005'!$K22=0,1,'Asia excluding China 2005'!$K22)*-1</f>
        <v>1.1734028683181226E-2</v>
      </c>
      <c r="E73" s="40">
        <f>'Asia excluding China 2010'!$K21/IF('Asia excluding China 2010'!$K22=0,1,'Asia excluding China 2010'!$K22)*-1</f>
        <v>9.1533180778032037E-3</v>
      </c>
      <c r="F73" s="40">
        <f>'Asia excluding China 2015'!$K21/IF('Asia excluding China 2015'!$K22=0,1,'Asia excluding China 2015'!$K22)*-1</f>
        <v>1.5061615700593337E-2</v>
      </c>
      <c r="G73" s="40">
        <f>'Asia excluding China 2018'!$K21/IF('Asia excluding China 2018'!$K22=0,1,'Asia excluding China 2018'!$K22)*-1</f>
        <v>1.7019798541160126E-2</v>
      </c>
      <c r="H73" s="77">
        <f t="shared" si="1"/>
        <v>1.7019798541160126E-2</v>
      </c>
      <c r="I73" s="77">
        <f t="shared" si="1"/>
        <v>1.7019798541160126E-2</v>
      </c>
    </row>
    <row r="74" spans="1:9" x14ac:dyDescent="0.35">
      <c r="A74" s="38" t="s">
        <v>242</v>
      </c>
      <c r="B74" s="42"/>
      <c r="C74" s="42"/>
      <c r="D74" s="42"/>
      <c r="E74" s="42"/>
      <c r="F74" s="42"/>
      <c r="G74" s="42"/>
      <c r="H74" s="42"/>
      <c r="I74" s="42"/>
    </row>
    <row r="75" spans="1:9" x14ac:dyDescent="0.35">
      <c r="A75" s="30" t="s">
        <v>243</v>
      </c>
      <c r="B75" s="40">
        <f>'Asia excluding China 1995'!$L20/B5*0.041872</f>
        <v>6.9588441742328158E-2</v>
      </c>
      <c r="C75" s="40">
        <f>'Asia excluding China 2000'!$L20/C5*0.041872</f>
        <v>7.3076258706351135E-2</v>
      </c>
      <c r="D75" s="40">
        <f>'Asia excluding China 2005'!$L20/D5*0.041872</f>
        <v>7.5700842551236061E-2</v>
      </c>
      <c r="E75" s="40">
        <f>'Asia excluding China 2010'!$L20/E5*0.041872</f>
        <v>5.7302240170948135E-2</v>
      </c>
      <c r="F75" s="40">
        <f>'Asia excluding China 2015'!$L20/F5*0.041872</f>
        <v>6.3705439188628712E-2</v>
      </c>
      <c r="G75" s="40">
        <f>'Asia excluding China 2018'!$L20/G5*0.041872</f>
        <v>6.2369880404689999E-2</v>
      </c>
      <c r="H75" s="77">
        <f t="shared" si="1"/>
        <v>6.2369880404689999E-2</v>
      </c>
      <c r="I75" s="77">
        <f t="shared" si="1"/>
        <v>6.2369880404689999E-2</v>
      </c>
    </row>
    <row r="76" spans="1:9" x14ac:dyDescent="0.35">
      <c r="A76" s="39" t="s">
        <v>158</v>
      </c>
      <c r="B76" s="43"/>
      <c r="C76" s="43"/>
      <c r="D76" s="43"/>
      <c r="E76" s="43"/>
      <c r="F76" s="43"/>
      <c r="G76" s="43"/>
      <c r="H76" s="43">
        <f t="shared" si="1"/>
        <v>0</v>
      </c>
      <c r="I76" s="43">
        <f t="shared" si="1"/>
        <v>0</v>
      </c>
    </row>
    <row r="77" spans="1:9" x14ac:dyDescent="0.35">
      <c r="A77" s="30" t="s">
        <v>147</v>
      </c>
      <c r="B77" s="40">
        <f>'Asia excluding China 1995'!$J20/'Asia excluding China 1995'!$L20</f>
        <v>0.11841851494696239</v>
      </c>
      <c r="C77" s="40">
        <f>'Asia excluding China 2000'!$J20/'Asia excluding China 2000'!$L20</f>
        <v>0.12940705128205129</v>
      </c>
      <c r="D77" s="40">
        <f>'Asia excluding China 2005'!$J20/'Asia excluding China 2005'!$L20</f>
        <v>0.13343005803482089</v>
      </c>
      <c r="E77" s="40">
        <f>'Asia excluding China 2010'!$J20/'Asia excluding China 2010'!$L20</f>
        <v>0.18205986074690297</v>
      </c>
      <c r="F77" s="40">
        <f>'Asia excluding China 2015'!$J20/'Asia excluding China 2015'!$L20</f>
        <v>0.19657402450845643</v>
      </c>
      <c r="G77" s="40">
        <f>'Asia excluding China 2018'!$J20/'Asia excluding China 2018'!$L20</f>
        <v>0.20199735684019782</v>
      </c>
      <c r="H77" s="89">
        <f>1-H78-H79-H80-H81-H82-H83</f>
        <v>0.20198373230513508</v>
      </c>
      <c r="I77" s="89">
        <f>1-I78-I79-I80-I81-I82-I83</f>
        <v>0.20198373230513508</v>
      </c>
    </row>
    <row r="78" spans="1:9" x14ac:dyDescent="0.35">
      <c r="A78" s="30" t="s">
        <v>148</v>
      </c>
      <c r="B78" s="40">
        <f>'Asia excluding China 1995'!$K20/'Asia excluding China 1995'!$L20</f>
        <v>9.8842815814850532E-4</v>
      </c>
      <c r="C78" s="40">
        <f>'Asia excluding China 2000'!$K20/'Asia excluding China 2000'!$L20</f>
        <v>1.1618589743589744E-3</v>
      </c>
      <c r="D78" s="40">
        <f>'Asia excluding China 2005'!$K20/'Asia excluding China 2005'!$L20</f>
        <v>5.8201587619238207E-3</v>
      </c>
      <c r="E78" s="40">
        <f>'Asia excluding China 2010'!$K20/'Asia excluding China 2010'!$L20</f>
        <v>9.0785785333212764E-3</v>
      </c>
      <c r="F78" s="40">
        <f>'Asia excluding China 2015'!$K20/'Asia excluding China 2015'!$L20</f>
        <v>7.1615619438938644E-3</v>
      </c>
      <c r="G78" s="40">
        <f>'Asia excluding China 2018'!$K20/'Asia excluding China 2018'!$L20</f>
        <v>7.7659849857623607E-3</v>
      </c>
      <c r="H78" s="77">
        <f t="shared" si="1"/>
        <v>7.7659849857623607E-3</v>
      </c>
      <c r="I78" s="77">
        <f t="shared" si="1"/>
        <v>7.7659849857623607E-3</v>
      </c>
    </row>
    <row r="79" spans="1:9" x14ac:dyDescent="0.35">
      <c r="A79" s="30" t="s">
        <v>141</v>
      </c>
      <c r="B79" s="40">
        <f>'Asia excluding China 1995'!$B20/'Asia excluding China 1995'!$L20</f>
        <v>5.002410800385728E-2</v>
      </c>
      <c r="C79" s="40">
        <f>'Asia excluding China 2000'!$B20/'Asia excluding China 2000'!$L20</f>
        <v>3.7039262820512821E-2</v>
      </c>
      <c r="D79" s="40">
        <f>'Asia excluding China 2005'!$B20/'Asia excluding China 2005'!$L20</f>
        <v>3.3069841905143088E-2</v>
      </c>
      <c r="E79" s="40">
        <f>'Asia excluding China 2010'!$B20/'Asia excluding China 2010'!$L20</f>
        <v>3.6024957048557738E-2</v>
      </c>
      <c r="F79" s="40">
        <f>'Asia excluding China 2015'!$B20/'Asia excluding China 2015'!$L20</f>
        <v>3.8093722420752617E-2</v>
      </c>
      <c r="G79" s="40">
        <f>'Asia excluding China 2018'!$B20/'Asia excluding China 2018'!$L20</f>
        <v>3.9838140523454635E-2</v>
      </c>
      <c r="H79" s="77">
        <f t="shared" si="1"/>
        <v>3.9838140523454635E-2</v>
      </c>
      <c r="I79" s="77">
        <f t="shared" si="1"/>
        <v>3.9838140523454635E-2</v>
      </c>
    </row>
    <row r="80" spans="1:9" x14ac:dyDescent="0.35">
      <c r="A80" s="30" t="s">
        <v>244</v>
      </c>
      <c r="B80" s="40">
        <f>'Asia excluding China 1995'!$E20/'Asia excluding China 1995'!$L20</f>
        <v>0.48975409836065575</v>
      </c>
      <c r="C80" s="40">
        <f>'Asia excluding China 2000'!$E20/'Asia excluding China 2000'!$L20</f>
        <v>0.47367788461538463</v>
      </c>
      <c r="D80" s="40">
        <f>'Asia excluding China 2005'!$E20/'Asia excluding China 2005'!$L20</f>
        <v>0.49691481555600026</v>
      </c>
      <c r="E80" s="40">
        <f>'Asia excluding China 2010'!$E20/'Asia excluding China 2010'!$L20</f>
        <v>0.43047291798535131</v>
      </c>
      <c r="F80" s="40">
        <f>'Asia excluding China 2015'!$E20/'Asia excluding China 2015'!$L20</f>
        <v>0.42836267885820106</v>
      </c>
      <c r="G80" s="40">
        <f>'Asia excluding China 2018'!$E20/'Asia excluding China 2018'!$L20</f>
        <v>0.40564328242298731</v>
      </c>
      <c r="H80" s="77">
        <f t="shared" si="1"/>
        <v>0.40564328242298731</v>
      </c>
      <c r="I80" s="77">
        <f t="shared" si="1"/>
        <v>0.40564328242298731</v>
      </c>
    </row>
    <row r="81" spans="1:9" x14ac:dyDescent="0.35">
      <c r="A81" s="30" t="s">
        <v>160</v>
      </c>
      <c r="B81" s="40">
        <f>'Asia excluding China 1995'!$C20/'Asia excluding China 1995'!$L20</f>
        <v>1.1499517839922854E-2</v>
      </c>
      <c r="C81" s="40">
        <f>'Asia excluding China 2000'!$C20/'Asia excluding China 2000'!$L20</f>
        <v>1.5584935897435898E-2</v>
      </c>
      <c r="D81" s="40">
        <f>'Asia excluding China 2005'!$C20/'Asia excluding China 2005'!$L20</f>
        <v>7.6212394103128541E-3</v>
      </c>
      <c r="E81" s="40">
        <f>'Asia excluding China 2010'!$C20/'Asia excluding China 2010'!$L20</f>
        <v>5.5701238810018988E-3</v>
      </c>
      <c r="F81" s="40">
        <f>'Asia excluding China 2015'!$C20/'Asia excluding China 2015'!$L20</f>
        <v>9.0857795975057502E-3</v>
      </c>
      <c r="G81" s="40">
        <f>'Asia excluding China 2018'!$C20/'Asia excluding China 2018'!$L20</f>
        <v>3.8693679578184394E-3</v>
      </c>
      <c r="H81" s="77">
        <f t="shared" si="1"/>
        <v>3.8693679578184394E-3</v>
      </c>
      <c r="I81" s="77">
        <f t="shared" si="1"/>
        <v>3.8693679578184394E-3</v>
      </c>
    </row>
    <row r="82" spans="1:9" x14ac:dyDescent="0.35">
      <c r="A82" s="30" t="s">
        <v>143</v>
      </c>
      <c r="B82" s="40">
        <f>'Asia excluding China 1995'!$D20/'Asia excluding China 1995'!$L20</f>
        <v>0.32931533269045321</v>
      </c>
      <c r="C82" s="40">
        <f>'Asia excluding China 2000'!$D20/'Asia excluding China 2000'!$L20</f>
        <v>0.3431290064102564</v>
      </c>
      <c r="D82" s="40">
        <f>'Asia excluding China 2005'!$D20/'Asia excluding China 2005'!$L20</f>
        <v>0.32314388633179908</v>
      </c>
      <c r="E82" s="40">
        <f>'Asia excluding China 2010'!$D20/'Asia excluding China 2010'!$L20</f>
        <v>0.3367935618048648</v>
      </c>
      <c r="F82" s="40">
        <f>'Asia excluding China 2015'!$D20/'Asia excluding China 2015'!$L20</f>
        <v>0.32072223267119027</v>
      </c>
      <c r="G82" s="40">
        <f>'Asia excluding China 2018'!$D20/'Asia excluding China 2018'!$L20</f>
        <v>0.34066787470877558</v>
      </c>
      <c r="H82" s="77">
        <f t="shared" si="1"/>
        <v>0.34066787470877558</v>
      </c>
      <c r="I82" s="77">
        <f t="shared" si="1"/>
        <v>0.34066787470877558</v>
      </c>
    </row>
    <row r="83" spans="1:9" x14ac:dyDescent="0.35">
      <c r="A83" s="30" t="s">
        <v>161</v>
      </c>
      <c r="B83" s="40">
        <f>'Asia excluding China 1995'!$I20/'Asia excluding China 1995'!$L20</f>
        <v>0</v>
      </c>
      <c r="C83" s="40">
        <f>'Asia excluding China 2000'!$I20/'Asia excluding China 2000'!$L20</f>
        <v>0</v>
      </c>
      <c r="D83" s="40">
        <f>'Asia excluding China 2005'!$I20/'Asia excluding China 2005'!$L20</f>
        <v>0</v>
      </c>
      <c r="E83" s="40">
        <f>'Asia excluding China 2010'!$I20/'Asia excluding China 2010'!$L20</f>
        <v>0</v>
      </c>
      <c r="F83" s="40">
        <f>'Asia excluding China 2015'!$I20/'Asia excluding China 2015'!$L20</f>
        <v>0</v>
      </c>
      <c r="G83" s="40">
        <f>'Asia excluding China 2018'!$I20/'Asia excluding China 2018'!$L20</f>
        <v>2.3161709606659672E-4</v>
      </c>
      <c r="H83" s="77">
        <f t="shared" si="1"/>
        <v>2.3161709606659672E-4</v>
      </c>
      <c r="I83" s="77">
        <f t="shared" si="1"/>
        <v>2.3161709606659672E-4</v>
      </c>
    </row>
    <row r="84" spans="1:9" ht="18.75" customHeight="1" x14ac:dyDescent="0.35">
      <c r="A84" s="32" t="s">
        <v>162</v>
      </c>
      <c r="B84" s="82"/>
      <c r="C84" s="82"/>
      <c r="D84" s="82"/>
      <c r="E84" s="82"/>
      <c r="F84" s="82"/>
      <c r="G84" s="82"/>
      <c r="H84" s="42"/>
      <c r="I84" s="42"/>
    </row>
    <row r="85" spans="1:9" x14ac:dyDescent="0.35">
      <c r="A85" s="30" t="s">
        <v>163</v>
      </c>
      <c r="B85" s="40">
        <f>'Asia excluding China 1995'!$K13/IF(('Asia excluding China 1995'!$K13+'Asia excluding China 1995'!$K14)=0,1,('Asia excluding China 1995'!$K13+'Asia excluding China 1995'!$K14))</f>
        <v>1</v>
      </c>
      <c r="C85" s="40">
        <f>'Asia excluding China 2000'!$K13/IF(('Asia excluding China 2000'!$K13+'Asia excluding China 2000'!$K14)=0,1,('Asia excluding China 2000'!$K13+'Asia excluding China 2000'!$K14))</f>
        <v>1</v>
      </c>
      <c r="D85" s="40">
        <f>'Asia excluding China 2005'!$K13/IF(('Asia excluding China 2005'!$K13+'Asia excluding China 2005'!$K14)=0,1,('Asia excluding China 2005'!$K13+'Asia excluding China 2005'!$K14))</f>
        <v>1</v>
      </c>
      <c r="E85" s="40">
        <f>'Asia excluding China 2010'!$K13/IF(('Asia excluding China 2010'!$K13+'Asia excluding China 2010'!$K14)=0,1,('Asia excluding China 2010'!$K13+'Asia excluding China 2010'!$K14))</f>
        <v>1</v>
      </c>
      <c r="F85" s="40">
        <f>'Asia excluding China 2015'!$K13/IF(('Asia excluding China 2015'!$K13+'Asia excluding China 2015'!$K14)=0,1,('Asia excluding China 2015'!$K13+'Asia excluding China 2015'!$K14))</f>
        <v>1</v>
      </c>
      <c r="G85" s="40">
        <f>'Asia excluding China 2018'!$K13/IF(('Asia excluding China 2018'!$K13+'Asia excluding China 2018'!$K14)=0,1,('Asia excluding China 2018'!$K13+'Asia excluding China 2018'!$K14))</f>
        <v>1</v>
      </c>
      <c r="H85" s="89">
        <f>1-H86</f>
        <v>1</v>
      </c>
      <c r="I85" s="89">
        <f>1-I86</f>
        <v>1</v>
      </c>
    </row>
    <row r="86" spans="1:9" x14ac:dyDescent="0.35">
      <c r="A86" s="30" t="s">
        <v>164</v>
      </c>
      <c r="B86" s="40">
        <f>'Asia excluding China 1995'!$K14/IF(('Asia excluding China 1995'!$K13+'Asia excluding China 1995'!$K14)=0,1,('Asia excluding China 1995'!$K13+'Asia excluding China 1995'!$K14))</f>
        <v>0</v>
      </c>
      <c r="C86" s="40">
        <f>'Asia excluding China 2000'!$K14/IF(('Asia excluding China 2000'!$K13+'Asia excluding China 2000'!$K14)=0,1,('Asia excluding China 2000'!$K13+'Asia excluding China 2000'!$K14))</f>
        <v>0</v>
      </c>
      <c r="D86" s="40">
        <f>'Asia excluding China 2005'!$K14/IF(('Asia excluding China 2005'!$K13+'Asia excluding China 2005'!$K14)=0,1,('Asia excluding China 2005'!$K13+'Asia excluding China 2005'!$K14))</f>
        <v>0</v>
      </c>
      <c r="E86" s="40">
        <f>'Asia excluding China 2010'!$K14/IF(('Asia excluding China 2010'!$K13+'Asia excluding China 2010'!$K14)=0,1,('Asia excluding China 2010'!$K13+'Asia excluding China 2010'!$K14))</f>
        <v>0</v>
      </c>
      <c r="F86" s="40">
        <f>'Asia excluding China 2015'!$K14/IF(('Asia excluding China 2015'!$K13+'Asia excluding China 2015'!$K14)=0,1,('Asia excluding China 2015'!$K13+'Asia excluding China 2015'!$K14))</f>
        <v>0</v>
      </c>
      <c r="G86" s="40">
        <f>'Asia excluding China 2018'!$K14/IF(('Asia excluding China 2018'!$K13+'Asia excluding China 2018'!$K14)=0,1,('Asia excluding China 2018'!$K13+'Asia excluding China 2018'!$K14))</f>
        <v>0</v>
      </c>
      <c r="H86" s="77">
        <f t="shared" si="1"/>
        <v>0</v>
      </c>
      <c r="I86" s="77">
        <f t="shared" si="1"/>
        <v>0</v>
      </c>
    </row>
    <row r="87" spans="1:9" x14ac:dyDescent="0.35">
      <c r="A87" s="32" t="s">
        <v>165</v>
      </c>
      <c r="B87" s="82"/>
      <c r="C87" s="82"/>
      <c r="D87" s="82"/>
      <c r="E87" s="82"/>
      <c r="F87" s="82"/>
      <c r="G87" s="82"/>
      <c r="H87" s="42"/>
      <c r="I87" s="42"/>
    </row>
    <row r="88" spans="1:9" x14ac:dyDescent="0.35">
      <c r="A88" s="30" t="s">
        <v>166</v>
      </c>
      <c r="B88" s="40">
        <f>'Asia excluding China 1995'!$J14/IF('Asia excluding China 1995'!$K14=0,1,'Asia excluding China 1995'!$K14)*-1</f>
        <v>0</v>
      </c>
      <c r="C88" s="40">
        <f>'Asia excluding China 2000'!$J14/IF('Asia excluding China 2000'!$K14=0,1,'Asia excluding China 2000'!$K14)*-1</f>
        <v>0</v>
      </c>
      <c r="D88" s="40">
        <f>'Asia excluding China 2005'!$J14/IF('Asia excluding China 2005'!$K14=0,1,'Asia excluding China 2005'!$K14)*-1</f>
        <v>0</v>
      </c>
      <c r="E88" s="40">
        <f>'Asia excluding China 2010'!$J14/IF('Asia excluding China 2010'!$K14=0,1,'Asia excluding China 2010'!$K14)*-1</f>
        <v>0</v>
      </c>
      <c r="F88" s="40">
        <f>'Asia excluding China 2015'!$J14/IF('Asia excluding China 2015'!$K14=0,1,'Asia excluding China 2015'!$K14)*-1</f>
        <v>0</v>
      </c>
      <c r="G88" s="40">
        <f>'Asia excluding China 2018'!$J14/IF('Asia excluding China 2018'!$K14=0,1,'Asia excluding China 2018'!$K14)*-1</f>
        <v>0</v>
      </c>
      <c r="H88" s="77">
        <f t="shared" si="1"/>
        <v>0</v>
      </c>
      <c r="I88" s="77">
        <f t="shared" si="1"/>
        <v>0</v>
      </c>
    </row>
    <row r="89" spans="1:9" ht="18.75" customHeight="1" x14ac:dyDescent="0.35">
      <c r="A89" s="32" t="s">
        <v>167</v>
      </c>
      <c r="B89" s="82"/>
      <c r="C89" s="82"/>
      <c r="D89" s="82"/>
      <c r="E89" s="82"/>
      <c r="F89" s="82"/>
      <c r="G89" s="82"/>
      <c r="H89" s="42"/>
      <c r="I89" s="42"/>
    </row>
    <row r="90" spans="1:9" x14ac:dyDescent="0.35">
      <c r="A90" s="30" t="s">
        <v>168</v>
      </c>
      <c r="B90" s="34">
        <f>'Asia excluding China 1995'!$J13/IF('Asia excluding China 1995'!$K13=0,1,'Asia excluding China 1995'!$K13)</f>
        <v>1.9443631039531479</v>
      </c>
      <c r="C90" s="34">
        <f>'Asia excluding China 2000'!$J13/IF('Asia excluding China 2000'!$K13=0,1,'Asia excluding China 2000'!$K13)</f>
        <v>3.9869375907111757</v>
      </c>
      <c r="D90" s="34">
        <f>'Asia excluding China 2005'!$J13/IF('Asia excluding China 2005'!$K13=0,1,'Asia excluding China 2005'!$K13)</f>
        <v>2.064143007360673</v>
      </c>
      <c r="E90" s="34">
        <f>'Asia excluding China 2010'!$J13/IF('Asia excluding China 2010'!$K13=0,1,'Asia excluding China 2010'!$K13)</f>
        <v>1.4225092250922509</v>
      </c>
      <c r="F90" s="34">
        <f>'Asia excluding China 2015'!$J13/IF('Asia excluding China 2015'!$K13=0,1,'Asia excluding China 2015'!$K13)</f>
        <v>1.4180147058823529</v>
      </c>
      <c r="G90" s="34">
        <f>'Asia excluding China 2018'!$J13/IF('Asia excluding China 2018'!$K13=0,1,'Asia excluding China 2018'!$K13)</f>
        <v>1.1340235030777841</v>
      </c>
      <c r="H90" s="78">
        <f t="shared" si="1"/>
        <v>1.1340235030777841</v>
      </c>
      <c r="I90" s="78">
        <f t="shared" si="1"/>
        <v>1.1340235030777841</v>
      </c>
    </row>
    <row r="91" spans="1:9" ht="18.75" customHeight="1" x14ac:dyDescent="0.35">
      <c r="A91" s="32" t="s">
        <v>169</v>
      </c>
      <c r="B91" s="82"/>
      <c r="C91" s="82"/>
      <c r="D91" s="82"/>
      <c r="E91" s="82"/>
      <c r="F91" s="82"/>
      <c r="G91" s="82"/>
      <c r="H91" s="33"/>
      <c r="I91" s="33"/>
    </row>
    <row r="92" spans="1:9" x14ac:dyDescent="0.35">
      <c r="A92" s="30" t="s">
        <v>170</v>
      </c>
      <c r="B92" s="40">
        <v>1</v>
      </c>
      <c r="C92" s="40">
        <v>1</v>
      </c>
      <c r="D92" s="40">
        <v>1</v>
      </c>
      <c r="E92" s="40">
        <v>1</v>
      </c>
      <c r="F92" s="40">
        <v>1</v>
      </c>
      <c r="G92" s="40">
        <v>1</v>
      </c>
      <c r="H92" s="77">
        <f t="shared" si="1"/>
        <v>1</v>
      </c>
      <c r="I92" s="77">
        <f t="shared" si="1"/>
        <v>1</v>
      </c>
    </row>
    <row r="93" spans="1:9" x14ac:dyDescent="0.35">
      <c r="A93" s="32" t="s">
        <v>171</v>
      </c>
      <c r="B93" s="82"/>
      <c r="C93" s="82"/>
      <c r="D93" s="82"/>
      <c r="E93" s="82"/>
      <c r="F93" s="82"/>
      <c r="G93" s="82"/>
      <c r="H93" s="42"/>
      <c r="I93" s="42"/>
    </row>
    <row r="94" spans="1:9" x14ac:dyDescent="0.35">
      <c r="A94" s="30" t="s">
        <v>172</v>
      </c>
      <c r="B94" s="40">
        <f>'Asia excluding China 1995'!$G12/'Asia excluding China 1995'!$J12*-1</f>
        <v>0.18254060399654271</v>
      </c>
      <c r="C94" s="40">
        <f>'Asia excluding China 2000'!$G12/'Asia excluding China 2000'!$J12*-1</f>
        <v>0.13822742410533814</v>
      </c>
      <c r="D94" s="40">
        <f>'Asia excluding China 2005'!$G12/'Asia excluding China 2005'!$J12*-1</f>
        <v>0.14201254016655607</v>
      </c>
      <c r="E94" s="40">
        <f>'Asia excluding China 2010'!$G12/'Asia excluding China 2010'!$J12*-1</f>
        <v>0.13295873772631817</v>
      </c>
      <c r="F94" s="40">
        <f>'Asia excluding China 2015'!$G12/'Asia excluding China 2015'!$J12*-1</f>
        <v>0.12231080520199225</v>
      </c>
      <c r="G94" s="40">
        <f>'Asia excluding China 2018'!$G12/'Asia excluding China 2018'!$J12*-1</f>
        <v>0.13099487477736177</v>
      </c>
      <c r="H94" s="77">
        <f t="shared" si="1"/>
        <v>0.13099487477736177</v>
      </c>
      <c r="I94" s="77">
        <f t="shared" si="1"/>
        <v>0.13099487477736177</v>
      </c>
    </row>
    <row r="95" spans="1:9" x14ac:dyDescent="0.35">
      <c r="A95" s="30" t="s">
        <v>145</v>
      </c>
      <c r="B95" s="40">
        <f>'Asia excluding China 1995'!$H12/'Asia excluding China 1995'!$J12*-1</f>
        <v>0.11767741269656978</v>
      </c>
      <c r="C95" s="40">
        <f>'Asia excluding China 2000'!$H12/'Asia excluding China 2000'!$J12*-1</f>
        <v>0.17823935934702678</v>
      </c>
      <c r="D95" s="40">
        <f>'Asia excluding China 2005'!$H12/'Asia excluding China 2005'!$J12*-1</f>
        <v>0.15224149885557933</v>
      </c>
      <c r="E95" s="40">
        <f>'Asia excluding China 2010'!$H12/'Asia excluding China 2010'!$J12*-1</f>
        <v>0.15010500028378454</v>
      </c>
      <c r="F95" s="40">
        <f>'Asia excluding China 2015'!$H12/'Asia excluding China 2015'!$J12*-1</f>
        <v>0.13578271997786387</v>
      </c>
      <c r="G95" s="40">
        <f>'Asia excluding China 2018'!$H12/'Asia excluding China 2018'!$J12*-1</f>
        <v>0.15901275853295047</v>
      </c>
      <c r="H95" s="77">
        <f t="shared" si="1"/>
        <v>0.15901275853295047</v>
      </c>
      <c r="I95" s="77">
        <f t="shared" si="1"/>
        <v>0.15901275853295047</v>
      </c>
    </row>
    <row r="96" spans="1:9" x14ac:dyDescent="0.35">
      <c r="A96" s="30" t="s">
        <v>173</v>
      </c>
      <c r="B96" s="40">
        <f t="shared" ref="B96:G96" si="2">1-B94-B95</f>
        <v>0.69978198330688746</v>
      </c>
      <c r="C96" s="40">
        <f t="shared" si="2"/>
        <v>0.6835332165476351</v>
      </c>
      <c r="D96" s="40">
        <f t="shared" si="2"/>
        <v>0.70574596097786457</v>
      </c>
      <c r="E96" s="40">
        <f t="shared" si="2"/>
        <v>0.71693626198989735</v>
      </c>
      <c r="F96" s="40">
        <f t="shared" si="2"/>
        <v>0.74190647482014394</v>
      </c>
      <c r="G96" s="40">
        <f t="shared" si="2"/>
        <v>0.70999236668968779</v>
      </c>
      <c r="H96" s="89">
        <f>1-H95-H94</f>
        <v>0.70999236668968768</v>
      </c>
      <c r="I96" s="89">
        <f>1-I95-I94</f>
        <v>0.70999236668968768</v>
      </c>
    </row>
    <row r="97" spans="1:9" x14ac:dyDescent="0.35">
      <c r="A97" s="32" t="s">
        <v>174</v>
      </c>
      <c r="B97" s="82"/>
      <c r="C97" s="82"/>
      <c r="D97" s="82"/>
      <c r="E97" s="82"/>
      <c r="F97" s="82"/>
      <c r="G97" s="82"/>
      <c r="H97" s="42"/>
      <c r="I97" s="42"/>
    </row>
    <row r="98" spans="1:9" x14ac:dyDescent="0.35">
      <c r="A98" s="30" t="s">
        <v>145</v>
      </c>
      <c r="B98" s="40">
        <f>'Asia excluding China 1995'!$H13/IF(('Asia excluding China 1995'!$J13+'Asia excluding China 1995'!$K13)=0,1,('Asia excluding China 1995'!$J13+'Asia excluding China 1995'!$K13))*-1</f>
        <v>0</v>
      </c>
      <c r="C98" s="40">
        <f>'Asia excluding China 2000'!$H13/IF(('Asia excluding China 2000'!$J13+'Asia excluding China 2000'!$K13)=0,1,('Asia excluding China 2000'!$J13+'Asia excluding China 2000'!$K13))*-1</f>
        <v>0</v>
      </c>
      <c r="D98" s="40">
        <f>'Asia excluding China 2005'!$H13/IF(('Asia excluding China 2005'!$J13+'Asia excluding China 2005'!$K13)=0,1,('Asia excluding China 2005'!$J13+'Asia excluding China 2005'!$K13))*-1</f>
        <v>0</v>
      </c>
      <c r="E98" s="40">
        <f>'Asia excluding China 2010'!$H13/IF(('Asia excluding China 2010'!$J13+'Asia excluding China 2010'!$K13)=0,1,('Asia excluding China 2010'!$J13+'Asia excluding China 2010'!$K13))*-1</f>
        <v>0</v>
      </c>
      <c r="F98" s="40">
        <f>'Asia excluding China 2015'!$H13/IF(('Asia excluding China 2015'!$J13+'Asia excluding China 2015'!$K13)=0,1,('Asia excluding China 2015'!$J13+'Asia excluding China 2015'!$K13))*-1</f>
        <v>0</v>
      </c>
      <c r="G98" s="40">
        <f>'Asia excluding China 2018'!$H13/IF(('Asia excluding China 2018'!$J13+'Asia excluding China 2018'!$K13)=0,1,('Asia excluding China 2018'!$J13+'Asia excluding China 2018'!$K13))*-1</f>
        <v>0</v>
      </c>
      <c r="H98" s="77">
        <f t="shared" si="1"/>
        <v>0</v>
      </c>
      <c r="I98" s="77">
        <f t="shared" si="1"/>
        <v>0</v>
      </c>
    </row>
    <row r="99" spans="1:9" x14ac:dyDescent="0.35">
      <c r="A99" s="30" t="s">
        <v>173</v>
      </c>
      <c r="B99" s="40">
        <f t="shared" ref="B99:G99" si="3">1-B98</f>
        <v>1</v>
      </c>
      <c r="C99" s="40">
        <f t="shared" si="3"/>
        <v>1</v>
      </c>
      <c r="D99" s="40">
        <f t="shared" si="3"/>
        <v>1</v>
      </c>
      <c r="E99" s="40">
        <f t="shared" si="3"/>
        <v>1</v>
      </c>
      <c r="F99" s="40">
        <f t="shared" si="3"/>
        <v>1</v>
      </c>
      <c r="G99" s="40">
        <f t="shared" si="3"/>
        <v>1</v>
      </c>
      <c r="H99" s="89">
        <f>1-H98</f>
        <v>1</v>
      </c>
      <c r="I99" s="89">
        <f>1-I98</f>
        <v>1</v>
      </c>
    </row>
    <row r="100" spans="1:9" x14ac:dyDescent="0.35">
      <c r="A100" s="32" t="s">
        <v>175</v>
      </c>
      <c r="B100" s="82"/>
      <c r="C100" s="82"/>
      <c r="D100" s="82"/>
      <c r="E100" s="82"/>
      <c r="F100" s="82"/>
      <c r="G100" s="82"/>
      <c r="H100" s="42"/>
      <c r="I100" s="42"/>
    </row>
    <row r="101" spans="1:9" x14ac:dyDescent="0.35">
      <c r="A101" s="30" t="s">
        <v>145</v>
      </c>
      <c r="B101" s="40">
        <f>'Asia excluding China 1995'!$H14/IF('Asia excluding China 1995'!$K14=0,1,'Asia excluding China 1995'!$K14)*-1</f>
        <v>0</v>
      </c>
      <c r="C101" s="40">
        <f>'Asia excluding China 2000'!$H14/IF('Asia excluding China 2000'!$K14=0,1,'Asia excluding China 2000'!$K14)*-1</f>
        <v>0</v>
      </c>
      <c r="D101" s="40">
        <f>'Asia excluding China 2005'!$H14/IF('Asia excluding China 2005'!$K14=0,1,'Asia excluding China 2005'!$K14)*-1</f>
        <v>0</v>
      </c>
      <c r="E101" s="40">
        <f>'Asia excluding China 2010'!$H14/IF('Asia excluding China 2010'!$K14=0,1,'Asia excluding China 2010'!$K14)*-1</f>
        <v>0</v>
      </c>
      <c r="F101" s="40">
        <f>'Asia excluding China 2015'!$H14/IF('Asia excluding China 2015'!$K14=0,1,'Asia excluding China 2015'!$K14)*-1</f>
        <v>0</v>
      </c>
      <c r="G101" s="40">
        <f>'Asia excluding China 2018'!$H14/IF('Asia excluding China 2018'!$K14=0,1,'Asia excluding China 2018'!$K14)*-1</f>
        <v>0</v>
      </c>
      <c r="H101" s="77">
        <f t="shared" si="1"/>
        <v>0</v>
      </c>
      <c r="I101" s="77">
        <f t="shared" si="1"/>
        <v>0</v>
      </c>
    </row>
    <row r="102" spans="1:9" x14ac:dyDescent="0.35">
      <c r="A102" s="30" t="s">
        <v>173</v>
      </c>
      <c r="B102" s="40">
        <f t="shared" ref="B102:G102" si="4">1-B101</f>
        <v>1</v>
      </c>
      <c r="C102" s="40">
        <f t="shared" si="4"/>
        <v>1</v>
      </c>
      <c r="D102" s="40">
        <f t="shared" si="4"/>
        <v>1</v>
      </c>
      <c r="E102" s="40">
        <f t="shared" si="4"/>
        <v>1</v>
      </c>
      <c r="F102" s="40">
        <f t="shared" si="4"/>
        <v>1</v>
      </c>
      <c r="G102" s="40">
        <f t="shared" si="4"/>
        <v>1</v>
      </c>
      <c r="H102" s="89">
        <f>1-H101</f>
        <v>1</v>
      </c>
      <c r="I102" s="89">
        <f>1-I101</f>
        <v>1</v>
      </c>
    </row>
    <row r="103" spans="1:9" x14ac:dyDescent="0.35">
      <c r="A103" s="31" t="s">
        <v>176</v>
      </c>
      <c r="B103" s="81"/>
      <c r="C103" s="81"/>
      <c r="D103" s="81"/>
      <c r="E103" s="81"/>
      <c r="F103" s="81"/>
      <c r="G103" s="81"/>
      <c r="H103" s="42"/>
      <c r="I103" s="42"/>
    </row>
    <row r="104" spans="1:9" x14ac:dyDescent="0.35">
      <c r="A104" s="30" t="s">
        <v>177</v>
      </c>
      <c r="B104" s="40">
        <f>('Asia excluding China 1995'!$J12+'Asia excluding China 1995'!$G12+'Asia excluding China 1995'!$H12)/('Asia excluding China 1995'!$B12+'Asia excluding China 1995'!$D12+'Asia excluding China 1995'!$E12+'Asia excluding China 1995'!$F12+'Asia excluding China 1995'!$I12)*-1</f>
        <v>0.29235652998749623</v>
      </c>
      <c r="C104" s="40">
        <f>('Asia excluding China 2000'!$J12+'Asia excluding China 2000'!$G12+'Asia excluding China 2000'!$H12)/('Asia excluding China 2000'!$B12+'Asia excluding China 2000'!$D12+'Asia excluding China 2000'!$E12+'Asia excluding China 2000'!$F12+'Asia excluding China 2000'!$I12)*-1</f>
        <v>0.27949198302936801</v>
      </c>
      <c r="D104" s="40">
        <f>('Asia excluding China 2005'!$J12+'Asia excluding China 2005'!$G12+'Asia excluding China 2005'!$H12)/('Asia excluding China 2005'!$B12+'Asia excluding China 2005'!$D12+'Asia excluding China 2005'!$E12+'Asia excluding China 2005'!$F12+'Asia excluding China 2005'!$I12)*-1</f>
        <v>0.29567887352099653</v>
      </c>
      <c r="E104" s="40">
        <f>('Asia excluding China 2010'!$J12+'Asia excluding China 2010'!$G12+'Asia excluding China 2010'!$H12)/('Asia excluding China 2010'!$B12+'Asia excluding China 2010'!$D12+'Asia excluding China 2010'!$E12+'Asia excluding China 2010'!$F12+'Asia excluding China 2010'!$I12)*-1</f>
        <v>0.29443973072763213</v>
      </c>
      <c r="F104" s="40">
        <f>('Asia excluding China 2015'!$J12+'Asia excluding China 2015'!$G12+'Asia excluding China 2015'!$H12)/('Asia excluding China 2015'!$B12+'Asia excluding China 2015'!$D12+'Asia excluding China 2015'!$E12+'Asia excluding China 2015'!$F12+'Asia excluding China 2015'!$I12)*-1</f>
        <v>0.316520488061312</v>
      </c>
      <c r="G104" s="40">
        <f>('Asia excluding China 2018'!$J12+'Asia excluding China 2018'!$G12+'Asia excluding China 2018'!$H12)/('Asia excluding China 2018'!$B12+'Asia excluding China 2018'!$D12+'Asia excluding China 2018'!$E12+'Asia excluding China 2018'!$F12+'Asia excluding China 2018'!$I12)*-1</f>
        <v>0.30781619846380293</v>
      </c>
      <c r="H104" s="77">
        <f t="shared" si="1"/>
        <v>0.30781619846380293</v>
      </c>
      <c r="I104" s="77">
        <f t="shared" si="1"/>
        <v>0.30781619846380293</v>
      </c>
    </row>
    <row r="105" spans="1:9" x14ac:dyDescent="0.35">
      <c r="A105" s="30" t="s">
        <v>163</v>
      </c>
      <c r="B105" s="40">
        <f>('Asia excluding China 1995'!$J13+'Asia excluding China 1995'!$K13+'Asia excluding China 1995'!$H13)/IF(('Asia excluding China 1995'!$B13+'Asia excluding China 1995'!$D13+'Asia excluding China 1995'!$E13+'Asia excluding China 1995'!$F13+'Asia excluding China 1995'!$I13)=0,1,('Asia excluding China 1995'!$B13+'Asia excluding China 1995'!$D13+'Asia excluding China 1995'!$E13+'Asia excluding China 1995'!$F13+'Asia excluding China 1995'!$I13))*-1</f>
        <v>0.49373925853179473</v>
      </c>
      <c r="C105" s="40">
        <f>('Asia excluding China 2000'!$J13+'Asia excluding China 2000'!$K13+'Asia excluding China 2000'!$H13)/IF(('Asia excluding China 2000'!$B13+'Asia excluding China 2000'!$D13+'Asia excluding China 2000'!$E13+'Asia excluding China 2000'!$F13+'Asia excluding China 2000'!$I13)=0,1,('Asia excluding China 2000'!$B13+'Asia excluding China 2000'!$D13+'Asia excluding China 2000'!$E13+'Asia excluding China 2000'!$F13+'Asia excluding China 2000'!$I13))*-1</f>
        <v>0.46176589168122562</v>
      </c>
      <c r="D105" s="40">
        <f>('Asia excluding China 2005'!$J13+'Asia excluding China 2005'!$K13+'Asia excluding China 2005'!$H13)/IF(('Asia excluding China 2005'!$B13+'Asia excluding China 2005'!$D13+'Asia excluding China 2005'!$E13+'Asia excluding China 2005'!$F13+'Asia excluding China 2005'!$I13)=0,1,('Asia excluding China 2005'!$B13+'Asia excluding China 2005'!$D13+'Asia excluding China 2005'!$E13+'Asia excluding China 2005'!$F13+'Asia excluding China 2005'!$I13))*-1</f>
        <v>0.51060101629577714</v>
      </c>
      <c r="E105" s="40">
        <f>('Asia excluding China 2010'!$J13+'Asia excluding China 2010'!$K13+'Asia excluding China 2010'!$H13)/IF(('Asia excluding China 2010'!$B13+'Asia excluding China 2010'!$D13+'Asia excluding China 2010'!$E13+'Asia excluding China 2010'!$F13+'Asia excluding China 2010'!$I13)=0,1,('Asia excluding China 2010'!$B13+'Asia excluding China 2010'!$D13+'Asia excluding China 2010'!$E13+'Asia excluding China 2010'!$F13+'Asia excluding China 2010'!$I13))*-1</f>
        <v>0.54328037073816615</v>
      </c>
      <c r="F105" s="40">
        <f>('Asia excluding China 2015'!$J13+'Asia excluding China 2015'!$K13+'Asia excluding China 2015'!$H13)/IF(('Asia excluding China 2015'!$B13+'Asia excluding China 2015'!$D13+'Asia excluding China 2015'!$E13+'Asia excluding China 2015'!$F13+'Asia excluding China 2015'!$I13)=0,1,('Asia excluding China 2015'!$B13+'Asia excluding China 2015'!$D13+'Asia excluding China 2015'!$E13+'Asia excluding China 2015'!$F13+'Asia excluding China 2015'!$I13))*-1</f>
        <v>0.51398874648327597</v>
      </c>
      <c r="G105" s="40">
        <f>('Asia excluding China 2018'!$J13+'Asia excluding China 2018'!$K13+'Asia excluding China 2018'!$H13)/IF(('Asia excluding China 2018'!$B13+'Asia excluding China 2018'!$D13+'Asia excluding China 2018'!$E13+'Asia excluding China 2018'!$F13+'Asia excluding China 2018'!$I13)=0,1,('Asia excluding China 2018'!$B13+'Asia excluding China 2018'!$D13+'Asia excluding China 2018'!$E13+'Asia excluding China 2018'!$F13+'Asia excluding China 2018'!$I13))*-1</f>
        <v>0.55805955952293851</v>
      </c>
      <c r="H105" s="77">
        <f t="shared" si="1"/>
        <v>0.55805955952293851</v>
      </c>
      <c r="I105" s="77">
        <f t="shared" si="1"/>
        <v>0.55805955952293851</v>
      </c>
    </row>
    <row r="106" spans="1:9" x14ac:dyDescent="0.35">
      <c r="A106" s="30" t="s">
        <v>178</v>
      </c>
      <c r="B106" s="40">
        <f>('Asia excluding China 1995'!$K14+'Asia excluding China 1995'!$H14)/IF(('Asia excluding China 1995'!$B14+'Asia excluding China 1995'!$D14+'Asia excluding China 1995'!$E14+'Asia excluding China 1995'!$I14)=0,1,('Asia excluding China 1995'!$B14+'Asia excluding China 1995'!$D14+'Asia excluding China 1995'!$E14+'Asia excluding China 1995'!$I14))*-1</f>
        <v>0</v>
      </c>
      <c r="C106" s="40">
        <f>('Asia excluding China 2000'!$K14+'Asia excluding China 2000'!$H14)/IF(('Asia excluding China 2000'!$B14+'Asia excluding China 2000'!$D14+'Asia excluding China 2000'!$E14+'Asia excluding China 2000'!$I14)=0,1,('Asia excluding China 2000'!$B14+'Asia excluding China 2000'!$D14+'Asia excluding China 2000'!$E14+'Asia excluding China 2000'!$I14))*-1</f>
        <v>0</v>
      </c>
      <c r="D106" s="40">
        <f>('Asia excluding China 2005'!$K14+'Asia excluding China 2005'!$H14)/IF(('Asia excluding China 2005'!$B14+'Asia excluding China 2005'!$D14+'Asia excluding China 2005'!$E14+'Asia excluding China 2005'!$I14)=0,1,('Asia excluding China 2005'!$B14+'Asia excluding China 2005'!$D14+'Asia excluding China 2005'!$E14+'Asia excluding China 2005'!$I14))*-1</f>
        <v>0</v>
      </c>
      <c r="E106" s="40">
        <f>('Asia excluding China 2010'!$K14+'Asia excluding China 2010'!$H14)/IF(('Asia excluding China 2010'!$B14+'Asia excluding China 2010'!$D14+'Asia excluding China 2010'!$E14+'Asia excluding China 2010'!$I14)=0,1,('Asia excluding China 2010'!$B14+'Asia excluding China 2010'!$D14+'Asia excluding China 2010'!$E14+'Asia excluding China 2010'!$I14))*-1</f>
        <v>0</v>
      </c>
      <c r="F106" s="40">
        <f>('Asia excluding China 2015'!$K14+'Asia excluding China 2015'!$H14)/IF(('Asia excluding China 2015'!$B14+'Asia excluding China 2015'!$D14+'Asia excluding China 2015'!$E14+'Asia excluding China 2015'!$I14)=0,1,('Asia excluding China 2015'!$B14+'Asia excluding China 2015'!$D14+'Asia excluding China 2015'!$E14+'Asia excluding China 2015'!$I14))*-1</f>
        <v>0</v>
      </c>
      <c r="G106" s="40">
        <f>('Asia excluding China 2018'!$K14+'Asia excluding China 2018'!$H14)/IF(('Asia excluding China 2018'!$B14+'Asia excluding China 2018'!$D14+'Asia excluding China 2018'!$E14+'Asia excluding China 2018'!$I14)=0,1,('Asia excluding China 2018'!$B14+'Asia excluding China 2018'!$D14+'Asia excluding China 2018'!$E14+'Asia excluding China 2018'!$I14))*-1</f>
        <v>0</v>
      </c>
      <c r="H106" s="77">
        <f t="shared" si="1"/>
        <v>0</v>
      </c>
      <c r="I106" s="77">
        <f t="shared" si="1"/>
        <v>0</v>
      </c>
    </row>
    <row r="107" spans="1:9" x14ac:dyDescent="0.35">
      <c r="A107" s="30" t="s">
        <v>170</v>
      </c>
      <c r="B107" s="40">
        <f>'Asia excluding China 1995'!$D16/IF('Asia excluding China 1995'!$C16=0,1,'Asia excluding China 1995'!$C16)*-1</f>
        <v>0.9769768722040022</v>
      </c>
      <c r="C107" s="40">
        <f>'Asia excluding China 2000'!$D16/IF('Asia excluding China 2000'!$C16=0,1,'Asia excluding China 2000'!$C16)*-1</f>
        <v>0.98761485118584136</v>
      </c>
      <c r="D107" s="40">
        <f>'Asia excluding China 2005'!$D16/IF('Asia excluding China 2005'!$C16=0,1,'Asia excluding China 2005'!$C16)*-1</f>
        <v>0.98370022689525383</v>
      </c>
      <c r="E107" s="40">
        <f>'Asia excluding China 2010'!$D16/IF('Asia excluding China 2010'!$C16=0,1,'Asia excluding China 2010'!$C16)*-1</f>
        <v>0.98014066402706668</v>
      </c>
      <c r="F107" s="40">
        <f>'Asia excluding China 2015'!$D16/IF('Asia excluding China 2015'!$C16=0,1,'Asia excluding China 2015'!$C16)*-1</f>
        <v>0.97948153826049478</v>
      </c>
      <c r="G107" s="40">
        <f>'Asia excluding China 2018'!$D16/IF('Asia excluding China 2018'!$C16=0,1,'Asia excluding China 2018'!$C16)*-1</f>
        <v>0.98284939790439452</v>
      </c>
      <c r="H107" s="77">
        <f t="shared" si="1"/>
        <v>0.98284939790439452</v>
      </c>
      <c r="I107" s="77">
        <f t="shared" si="1"/>
        <v>0.98284939790439452</v>
      </c>
    </row>
    <row r="108" spans="1:9" x14ac:dyDescent="0.35">
      <c r="A108" s="32" t="s">
        <v>179</v>
      </c>
      <c r="B108" s="82"/>
      <c r="C108" s="82"/>
      <c r="D108" s="82"/>
      <c r="E108" s="82"/>
      <c r="F108" s="82"/>
      <c r="G108" s="82"/>
      <c r="H108" s="42"/>
      <c r="I108" s="42"/>
    </row>
    <row r="109" spans="1:9" x14ac:dyDescent="0.35">
      <c r="A109" s="30" t="s">
        <v>141</v>
      </c>
      <c r="B109" s="40">
        <f>'Asia excluding China 1995'!$B12/('Asia excluding China 1995'!$L12-'Asia excluding China 1995'!$J12-'Asia excluding China 1995'!$G12-'Asia excluding China 1995'!$H12)</f>
        <v>0.52885314994367882</v>
      </c>
      <c r="C109" s="40">
        <f>'Asia excluding China 2000'!$B12/('Asia excluding China 2000'!$L12-'Asia excluding China 2000'!$J12-'Asia excluding China 2000'!$G12-'Asia excluding China 2000'!$H12)</f>
        <v>0.54976445075899205</v>
      </c>
      <c r="D109" s="40">
        <f>'Asia excluding China 2005'!$B12/('Asia excluding China 2005'!$L12-'Asia excluding China 2005'!$J12-'Asia excluding China 2005'!$G12-'Asia excluding China 2005'!$H12)</f>
        <v>0.56547909092044935</v>
      </c>
      <c r="E109" s="40">
        <f>'Asia excluding China 2010'!$B12/('Asia excluding China 2010'!$L12-'Asia excluding China 2010'!$J12-'Asia excluding China 2010'!$G12-'Asia excluding China 2010'!$H12)</f>
        <v>0.57604753291313915</v>
      </c>
      <c r="F109" s="40">
        <f>'Asia excluding China 2015'!$B12/('Asia excluding China 2015'!$L12-'Asia excluding China 2015'!$J12-'Asia excluding China 2015'!$G12-'Asia excluding China 2015'!$H12)</f>
        <v>0.65230703962961933</v>
      </c>
      <c r="G109" s="40">
        <f>'Asia excluding China 2018'!$B12/('Asia excluding China 2018'!$L12-'Asia excluding China 2018'!$J12-'Asia excluding China 2018'!$G12-'Asia excluding China 2018'!$H12)</f>
        <v>0.666736006707073</v>
      </c>
      <c r="H109" s="89">
        <f>1-H110-H111-H112-H113-H114</f>
        <v>0.666736006707073</v>
      </c>
      <c r="I109" s="89">
        <f>1-I110-I111-I112-I113-I114</f>
        <v>0.666736006707073</v>
      </c>
    </row>
    <row r="110" spans="1:9" x14ac:dyDescent="0.35">
      <c r="A110" s="30" t="s">
        <v>142</v>
      </c>
      <c r="B110" s="40">
        <f>'Asia excluding China 1995'!$C12/('Asia excluding China 1995'!$L12-'Asia excluding China 1995'!$J12-'Asia excluding China 1995'!$G12-'Asia excluding China 1995'!$H12)</f>
        <v>0</v>
      </c>
      <c r="C110" s="40">
        <f>'Asia excluding China 2000'!$C12/('Asia excluding China 2000'!$L12-'Asia excluding China 2000'!$J12-'Asia excluding China 2000'!$G12-'Asia excluding China 2000'!$H12)</f>
        <v>0</v>
      </c>
      <c r="D110" s="40">
        <f>'Asia excluding China 2005'!$C12/('Asia excluding China 2005'!$L12-'Asia excluding China 2005'!$J12-'Asia excluding China 2005'!$G12-'Asia excluding China 2005'!$H12)</f>
        <v>0</v>
      </c>
      <c r="E110" s="40">
        <f>'Asia excluding China 2010'!$C12/('Asia excluding China 2010'!$L12-'Asia excluding China 2010'!$J12-'Asia excluding China 2010'!$G12-'Asia excluding China 2010'!$H12)</f>
        <v>0</v>
      </c>
      <c r="F110" s="40">
        <f>'Asia excluding China 2015'!$C12/('Asia excluding China 2015'!$L12-'Asia excluding China 2015'!$J12-'Asia excluding China 2015'!$G12-'Asia excluding China 2015'!$H12)</f>
        <v>0</v>
      </c>
      <c r="G110" s="40">
        <f>'Asia excluding China 2018'!$C12/('Asia excluding China 2018'!$L12-'Asia excluding China 2018'!$J12-'Asia excluding China 2018'!$G12-'Asia excluding China 2018'!$H12)</f>
        <v>0</v>
      </c>
      <c r="H110" s="77">
        <f t="shared" si="1"/>
        <v>0</v>
      </c>
      <c r="I110" s="77">
        <f t="shared" si="1"/>
        <v>0</v>
      </c>
    </row>
    <row r="111" spans="1:9" x14ac:dyDescent="0.35">
      <c r="A111" s="30" t="s">
        <v>143</v>
      </c>
      <c r="B111" s="40">
        <f>'Asia excluding China 1995'!$D12/('Asia excluding China 1995'!$L12-'Asia excluding China 1995'!$J12-'Asia excluding China 1995'!$G12-'Asia excluding China 1995'!$H12)</f>
        <v>0.21312579833246201</v>
      </c>
      <c r="C111" s="40">
        <f>'Asia excluding China 2000'!$D12/('Asia excluding China 2000'!$L12-'Asia excluding China 2000'!$J12-'Asia excluding China 2000'!$G12-'Asia excluding China 2000'!$H12)</f>
        <v>0.16544333240189385</v>
      </c>
      <c r="D111" s="40">
        <f>'Asia excluding China 2005'!$D12/('Asia excluding China 2005'!$L12-'Asia excluding China 2005'!$J12-'Asia excluding China 2005'!$G12-'Asia excluding China 2005'!$H12)</f>
        <v>0.10709421892374776</v>
      </c>
      <c r="E111" s="40">
        <f>'Asia excluding China 2010'!$D12/('Asia excluding China 2010'!$L12-'Asia excluding China 2010'!$J12-'Asia excluding China 2010'!$G12-'Asia excluding China 2010'!$H12)</f>
        <v>8.1303845149740803E-2</v>
      </c>
      <c r="F111" s="40">
        <f>'Asia excluding China 2015'!$D12/('Asia excluding China 2015'!$L12-'Asia excluding China 2015'!$J12-'Asia excluding China 2015'!$G12-'Asia excluding China 2015'!$H12)</f>
        <v>4.9846443294690533E-2</v>
      </c>
      <c r="G111" s="40">
        <f>'Asia excluding China 2018'!$D12/('Asia excluding China 2018'!$L12-'Asia excluding China 2018'!$J12-'Asia excluding China 2018'!$G12-'Asia excluding China 2018'!$H12)</f>
        <v>4.0288139386088495E-2</v>
      </c>
      <c r="H111" s="77">
        <f t="shared" si="1"/>
        <v>4.0288139386088495E-2</v>
      </c>
      <c r="I111" s="77">
        <f t="shared" si="1"/>
        <v>4.0288139386088495E-2</v>
      </c>
    </row>
    <row r="112" spans="1:9" x14ac:dyDescent="0.35">
      <c r="A112" s="30" t="s">
        <v>241</v>
      </c>
      <c r="B112" s="40">
        <f>'Asia excluding China 1995'!$E12/('Asia excluding China 1995'!$L12-'Asia excluding China 1995'!$J12-'Asia excluding China 1995'!$G12-'Asia excluding China 1995'!$H12)</f>
        <v>0.19434309028095914</v>
      </c>
      <c r="C112" s="40">
        <f>'Asia excluding China 2000'!$E12/('Asia excluding China 2000'!$L12-'Asia excluding China 2000'!$J12-'Asia excluding China 2000'!$G12-'Asia excluding China 2000'!$H12)</f>
        <v>0.21813788190659106</v>
      </c>
      <c r="D112" s="40">
        <f>'Asia excluding China 2005'!$E12/('Asia excluding China 2005'!$L12-'Asia excluding China 2005'!$J12-'Asia excluding China 2005'!$G12-'Asia excluding China 2005'!$H12)</f>
        <v>0.26475567550008122</v>
      </c>
      <c r="E112" s="40">
        <f>'Asia excluding China 2010'!$E12/('Asia excluding China 2010'!$L12-'Asia excluding China 2010'!$J12-'Asia excluding China 2010'!$G12-'Asia excluding China 2010'!$H12)</f>
        <v>0.27192966098534294</v>
      </c>
      <c r="F112" s="40">
        <f>'Asia excluding China 2015'!$E12/('Asia excluding China 2015'!$L12-'Asia excluding China 2015'!$J12-'Asia excluding China 2015'!$G12-'Asia excluding China 2015'!$H12)</f>
        <v>0.22132639791937581</v>
      </c>
      <c r="G112" s="40">
        <f>'Asia excluding China 2018'!$E12/('Asia excluding China 2018'!$L12-'Asia excluding China 2018'!$J12-'Asia excluding China 2018'!$G12-'Asia excluding China 2018'!$H12)</f>
        <v>0.19569650494678151</v>
      </c>
      <c r="H112" s="77">
        <f t="shared" si="1"/>
        <v>0.19569650494678151</v>
      </c>
      <c r="I112" s="77">
        <f t="shared" si="1"/>
        <v>0.19569650494678151</v>
      </c>
    </row>
    <row r="113" spans="1:11" x14ac:dyDescent="0.35">
      <c r="A113" s="30" t="s">
        <v>180</v>
      </c>
      <c r="B113" s="40">
        <f>'Asia excluding China 1995'!$F12/('Asia excluding China 1995'!$L12-'Asia excluding China 1995'!$J12-'Asia excluding China 1995'!$G12-'Asia excluding China 1995'!$H12)</f>
        <v>6.1484399842624084E-2</v>
      </c>
      <c r="C113" s="40">
        <f>'Asia excluding China 2000'!$F12/('Asia excluding China 2000'!$L12-'Asia excluding China 2000'!$J12-'Asia excluding China 2000'!$G12-'Asia excluding China 2000'!$H12)</f>
        <v>5.8865664122918528E-2</v>
      </c>
      <c r="D113" s="40">
        <f>'Asia excluding China 2005'!$F12/('Asia excluding China 2005'!$L12-'Asia excluding China 2005'!$J12-'Asia excluding China 2005'!$G12-'Asia excluding China 2005'!$H12)</f>
        <v>4.8652498219573445E-2</v>
      </c>
      <c r="E113" s="40">
        <f>'Asia excluding China 2010'!$F12/('Asia excluding China 2010'!$L12-'Asia excluding China 2010'!$J12-'Asia excluding China 2010'!$G12-'Asia excluding China 2010'!$H12)</f>
        <v>4.3313877596688172E-2</v>
      </c>
      <c r="F113" s="40">
        <f>'Asia excluding China 2015'!$F12/('Asia excluding China 2015'!$L12-'Asia excluding China 2015'!$J12-'Asia excluding China 2015'!$G12-'Asia excluding China 2015'!$H12)</f>
        <v>3.7722380543950419E-2</v>
      </c>
      <c r="G113" s="40">
        <f>'Asia excluding China 2018'!$F12/('Asia excluding China 2018'!$L12-'Asia excluding China 2018'!$J12-'Asia excluding China 2018'!$G12-'Asia excluding China 2018'!$H12)</f>
        <v>3.1187259082757338E-2</v>
      </c>
      <c r="H113" s="77">
        <f t="shared" si="1"/>
        <v>3.1187259082757338E-2</v>
      </c>
      <c r="I113" s="77">
        <f t="shared" si="1"/>
        <v>3.1187259082757338E-2</v>
      </c>
    </row>
    <row r="114" spans="1:11" x14ac:dyDescent="0.35">
      <c r="A114" s="30" t="s">
        <v>146</v>
      </c>
      <c r="B114" s="40">
        <f>'Asia excluding China 1995'!$I12/('Asia excluding China 1995'!$L12-'Asia excluding China 1995'!$J12-'Asia excluding China 1995'!$G12-'Asia excluding China 1995'!$H12)</f>
        <v>2.1989511865174111E-3</v>
      </c>
      <c r="C114" s="40">
        <f>'Asia excluding China 2000'!$I12/('Asia excluding China 2000'!$L12-'Asia excluding China 2000'!$J12-'Asia excluding China 2000'!$G12-'Asia excluding China 2000'!$H12)</f>
        <v>7.7847351497715347E-3</v>
      </c>
      <c r="D114" s="40">
        <f>'Asia excluding China 2005'!$I12/('Asia excluding China 2005'!$L12-'Asia excluding China 2005'!$J12-'Asia excluding China 2005'!$G12-'Asia excluding China 2005'!$H12)</f>
        <v>1.4018516436148281E-2</v>
      </c>
      <c r="E114" s="40">
        <f>'Asia excluding China 2010'!$I12/('Asia excluding China 2010'!$L12-'Asia excluding China 2010'!$J12-'Asia excluding China 2010'!$G12-'Asia excluding China 2010'!$H12)</f>
        <v>2.7405083355088948E-2</v>
      </c>
      <c r="F114" s="40">
        <f>'Asia excluding China 2015'!$I12/('Asia excluding China 2015'!$L12-'Asia excluding China 2015'!$J12-'Asia excluding China 2015'!$G12-'Asia excluding China 2015'!$H12)</f>
        <v>3.8797738612363852E-2</v>
      </c>
      <c r="G114" s="40">
        <f>'Asia excluding China 2018'!$I12/('Asia excluding China 2018'!$L12-'Asia excluding China 2018'!$J12-'Asia excluding China 2018'!$G12-'Asia excluding China 2018'!$H12)</f>
        <v>6.6092089877299642E-2</v>
      </c>
      <c r="H114" s="77">
        <f t="shared" si="1"/>
        <v>6.6092089877299642E-2</v>
      </c>
      <c r="I114" s="77">
        <f t="shared" si="1"/>
        <v>6.6092089877299642E-2</v>
      </c>
    </row>
    <row r="115" spans="1:11" x14ac:dyDescent="0.35">
      <c r="A115" s="32" t="s">
        <v>181</v>
      </c>
      <c r="B115" s="82"/>
      <c r="C115" s="82"/>
      <c r="D115" s="82"/>
      <c r="E115" s="82"/>
      <c r="F115" s="82"/>
      <c r="G115" s="82"/>
      <c r="H115" s="42"/>
      <c r="I115" s="42"/>
    </row>
    <row r="116" spans="1:11" x14ac:dyDescent="0.35">
      <c r="A116" s="30" t="s">
        <v>141</v>
      </c>
      <c r="B116" s="40">
        <f>'Asia excluding China 1995'!$B13/IF(('Asia excluding China 1995'!$L13-'Asia excluding China 1995'!$J13-'Asia excluding China 1995'!$K13-'Asia excluding China 1995'!$G13-'Asia excluding China 1995'!$H13)=0,1,('Asia excluding China 1995'!$L13-'Asia excluding China 1995'!$J13-'Asia excluding China 1995'!$K13-'Asia excluding China 1995'!$G13-'Asia excluding China 1995'!$H13))</f>
        <v>0.83963654223968565</v>
      </c>
      <c r="C116" s="40">
        <f>'Asia excluding China 2000'!$B13/IF(('Asia excluding China 2000'!$L13-'Asia excluding China 2000'!$J13-'Asia excluding China 2000'!$K13-'Asia excluding China 2000'!$G13-'Asia excluding China 2000'!$H13)=0,1,('Asia excluding China 2000'!$L13-'Asia excluding China 2000'!$J13-'Asia excluding China 2000'!$K13-'Asia excluding China 2000'!$G13-'Asia excluding China 2000'!$H13))</f>
        <v>0.83416207498992068</v>
      </c>
      <c r="D116" s="40">
        <f>'Asia excluding China 2005'!$B13/IF(('Asia excluding China 2005'!$L13-'Asia excluding China 2005'!$J13-'Asia excluding China 2005'!$K13-'Asia excluding China 2005'!$G13-'Asia excluding China 2005'!$H13)=0,1,('Asia excluding China 2005'!$L13-'Asia excluding China 2005'!$J13-'Asia excluding China 2005'!$K13-'Asia excluding China 2005'!$G13-'Asia excluding China 2005'!$H13))</f>
        <v>0.77389399912395973</v>
      </c>
      <c r="E116" s="40">
        <f>'Asia excluding China 2010'!$B13/IF(('Asia excluding China 2010'!$L13-'Asia excluding China 2010'!$J13-'Asia excluding China 2010'!$K13-'Asia excluding China 2010'!$G13-'Asia excluding China 2010'!$H13)=0,1,('Asia excluding China 2010'!$L13-'Asia excluding China 2010'!$J13-'Asia excluding China 2010'!$K13-'Asia excluding China 2010'!$G13-'Asia excluding China 2010'!$H13))</f>
        <v>0.83450558543649156</v>
      </c>
      <c r="F116" s="40">
        <f>'Asia excluding China 2015'!$B13/IF(('Asia excluding China 2015'!$L13-'Asia excluding China 2015'!$J13-'Asia excluding China 2015'!$K13-'Asia excluding China 2015'!$G13-'Asia excluding China 2015'!$H13)=0,1,('Asia excluding China 2015'!$L13-'Asia excluding China 2015'!$J13-'Asia excluding China 2015'!$K13-'Asia excluding China 2015'!$G13-'Asia excluding China 2015'!$H13))</f>
        <v>0.87230384495154734</v>
      </c>
      <c r="G116" s="40">
        <f>'Asia excluding China 2018'!$B13/IF(('Asia excluding China 2018'!$L13-'Asia excluding China 2018'!$J13-'Asia excluding China 2018'!$K13-'Asia excluding China 2018'!$G13-'Asia excluding China 2018'!$H13)=0,1,('Asia excluding China 2018'!$L13-'Asia excluding China 2018'!$J13-'Asia excluding China 2018'!$K13-'Asia excluding China 2018'!$G13-'Asia excluding China 2018'!$H13))</f>
        <v>0.86990561205824246</v>
      </c>
      <c r="H116" s="89">
        <f>1-H117-H118-H119-H120-H121</f>
        <v>0.86990561205824246</v>
      </c>
      <c r="I116" s="89">
        <f>1-I117-I118-I119-I120-I121</f>
        <v>0.86990561205824246</v>
      </c>
    </row>
    <row r="117" spans="1:11" x14ac:dyDescent="0.35">
      <c r="A117" s="30" t="s">
        <v>142</v>
      </c>
      <c r="B117" s="40">
        <f>'Asia excluding China 1995'!$C13/IF(('Asia excluding China 1995'!$L13-'Asia excluding China 1995'!$J13-'Asia excluding China 1995'!$K13-'Asia excluding China 1995'!$G13-'Asia excluding China 1995'!$H13)=0,1,('Asia excluding China 1995'!$L13-'Asia excluding China 1995'!$J13-'Asia excluding China 1995'!$K13-'Asia excluding China 1995'!$G13-'Asia excluding China 1995'!$H13))</f>
        <v>0</v>
      </c>
      <c r="C117" s="40">
        <f>'Asia excluding China 2000'!$C13/IF(('Asia excluding China 2000'!$L13-'Asia excluding China 2000'!$J13-'Asia excluding China 2000'!$K13-'Asia excluding China 2000'!$G13-'Asia excluding China 2000'!$H13)=0,1,('Asia excluding China 2000'!$L13-'Asia excluding China 2000'!$J13-'Asia excluding China 2000'!$K13-'Asia excluding China 2000'!$G13-'Asia excluding China 2000'!$H13))</f>
        <v>0</v>
      </c>
      <c r="D117" s="40">
        <f>'Asia excluding China 2005'!$C13/IF(('Asia excluding China 2005'!$L13-'Asia excluding China 2005'!$J13-'Asia excluding China 2005'!$K13-'Asia excluding China 2005'!$G13-'Asia excluding China 2005'!$H13)=0,1,('Asia excluding China 2005'!$L13-'Asia excluding China 2005'!$J13-'Asia excluding China 2005'!$K13-'Asia excluding China 2005'!$G13-'Asia excluding China 2005'!$H13))</f>
        <v>0</v>
      </c>
      <c r="E117" s="40">
        <f>'Asia excluding China 2010'!$C13/IF(('Asia excluding China 2010'!$L13-'Asia excluding China 2010'!$J13-'Asia excluding China 2010'!$K13-'Asia excluding China 2010'!$G13-'Asia excluding China 2010'!$H13)=0,1,('Asia excluding China 2010'!$L13-'Asia excluding China 2010'!$J13-'Asia excluding China 2010'!$K13-'Asia excluding China 2010'!$G13-'Asia excluding China 2010'!$H13))</f>
        <v>0</v>
      </c>
      <c r="F117" s="40">
        <f>'Asia excluding China 2015'!$C13/IF(('Asia excluding China 2015'!$L13-'Asia excluding China 2015'!$J13-'Asia excluding China 2015'!$K13-'Asia excluding China 2015'!$G13-'Asia excluding China 2015'!$H13)=0,1,('Asia excluding China 2015'!$L13-'Asia excluding China 2015'!$J13-'Asia excluding China 2015'!$K13-'Asia excluding China 2015'!$G13-'Asia excluding China 2015'!$H13))</f>
        <v>0</v>
      </c>
      <c r="G117" s="40">
        <f>'Asia excluding China 2018'!$C13/IF(('Asia excluding China 2018'!$L13-'Asia excluding China 2018'!$J13-'Asia excluding China 2018'!$K13-'Asia excluding China 2018'!$G13-'Asia excluding China 2018'!$H13)=0,1,('Asia excluding China 2018'!$L13-'Asia excluding China 2018'!$J13-'Asia excluding China 2018'!$K13-'Asia excluding China 2018'!$G13-'Asia excluding China 2018'!$H13))</f>
        <v>0</v>
      </c>
      <c r="H117" s="77">
        <f t="shared" si="1"/>
        <v>0</v>
      </c>
      <c r="I117" s="77">
        <f t="shared" si="1"/>
        <v>0</v>
      </c>
    </row>
    <row r="118" spans="1:11" x14ac:dyDescent="0.35">
      <c r="A118" s="30" t="s">
        <v>143</v>
      </c>
      <c r="B118" s="40">
        <f>'Asia excluding China 1995'!$D13/IF('Asia excluding China 1995'!$L13-'Asia excluding China 1995'!$J13-'Asia excluding China 1995'!$K13-'Asia excluding China 1995'!$G13-'Asia excluding China 1995'!$H13=0,1,('Asia excluding China 1995'!$L13-'Asia excluding China 1995'!$J13-'Asia excluding China 1995'!$K13-'Asia excluding China 1995'!$G13-'Asia excluding China 1995'!$H13))</f>
        <v>0.14415520628683692</v>
      </c>
      <c r="C118" s="40">
        <f>'Asia excluding China 2000'!$D13/IF('Asia excluding China 2000'!$L13-'Asia excluding China 2000'!$J13-'Asia excluding China 2000'!$K13-'Asia excluding China 2000'!$G13-'Asia excluding China 2000'!$H13=0,1,('Asia excluding China 2000'!$L13-'Asia excluding China 2000'!$J13-'Asia excluding China 2000'!$K13-'Asia excluding China 2000'!$G13-'Asia excluding China 2000'!$H13))</f>
        <v>0.13640639698965193</v>
      </c>
      <c r="D118" s="40">
        <f>'Asia excluding China 2005'!$D13/IF('Asia excluding China 2005'!$L13-'Asia excluding China 2005'!$J13-'Asia excluding China 2005'!$K13-'Asia excluding China 2005'!$G13-'Asia excluding China 2005'!$H13=0,1,('Asia excluding China 2005'!$L13-'Asia excluding China 2005'!$J13-'Asia excluding China 2005'!$K13-'Asia excluding China 2005'!$G13-'Asia excluding China 2005'!$H13))</f>
        <v>0.1181778361804643</v>
      </c>
      <c r="E118" s="40">
        <f>'Asia excluding China 2010'!$D13/IF('Asia excluding China 2010'!$L13-'Asia excluding China 2010'!$J13-'Asia excluding China 2010'!$K13-'Asia excluding China 2010'!$G13-'Asia excluding China 2010'!$H13=0,1,('Asia excluding China 2010'!$L13-'Asia excluding China 2010'!$J13-'Asia excluding China 2010'!$K13-'Asia excluding China 2010'!$G13-'Asia excluding China 2010'!$H13))</f>
        <v>5.9826230864708313E-2</v>
      </c>
      <c r="F118" s="40">
        <f>'Asia excluding China 2015'!$D13/IF('Asia excluding China 2015'!$L13-'Asia excluding China 2015'!$J13-'Asia excluding China 2015'!$K13-'Asia excluding China 2015'!$G13-'Asia excluding China 2015'!$H13=0,1,('Asia excluding China 2015'!$L13-'Asia excluding China 2015'!$J13-'Asia excluding China 2015'!$K13-'Asia excluding China 2015'!$G13-'Asia excluding China 2015'!$H13))</f>
        <v>2.477336667708659E-2</v>
      </c>
      <c r="G118" s="40">
        <f>'Asia excluding China 2018'!$D13/IF('Asia excluding China 2018'!$L13-'Asia excluding China 2018'!$J13-'Asia excluding China 2018'!$K13-'Asia excluding China 2018'!$G13-'Asia excluding China 2018'!$H13=0,1,('Asia excluding China 2018'!$L13-'Asia excluding China 2018'!$J13-'Asia excluding China 2018'!$K13-'Asia excluding China 2018'!$G13-'Asia excluding China 2018'!$H13))</f>
        <v>3.409672934806468E-2</v>
      </c>
      <c r="H118" s="77">
        <f t="shared" si="1"/>
        <v>3.409672934806468E-2</v>
      </c>
      <c r="I118" s="77">
        <f t="shared" si="1"/>
        <v>3.409672934806468E-2</v>
      </c>
    </row>
    <row r="119" spans="1:11" x14ac:dyDescent="0.35">
      <c r="A119" s="30" t="s">
        <v>241</v>
      </c>
      <c r="B119" s="40">
        <f>'Asia excluding China 1995'!$E13/IF(('Asia excluding China 1995'!$L13-'Asia excluding China 1995'!$J13-'Asia excluding China 1995'!$K13-'Asia excluding China 1995'!$G13-'Asia excluding China 1995'!$H13)=0,1,('Asia excluding China 1995'!$L13-'Asia excluding China 1995'!$J13-'Asia excluding China 1995'!$K13-'Asia excluding China 1995'!$G13-'Asia excluding China 1995'!$H13))</f>
        <v>1.6453831041257368E-2</v>
      </c>
      <c r="C119" s="40">
        <f>'Asia excluding China 2000'!$E13/IF(('Asia excluding China 2000'!$L13-'Asia excluding China 2000'!$J13-'Asia excluding China 2000'!$K13-'Asia excluding China 2000'!$G13-'Asia excluding China 2000'!$H13)=0,1,('Asia excluding China 2000'!$L13-'Asia excluding China 2000'!$J13-'Asia excluding China 2000'!$K13-'Asia excluding China 2000'!$G13-'Asia excluding China 2000'!$H13))</f>
        <v>2.9431528020427363E-2</v>
      </c>
      <c r="D119" s="40">
        <f>'Asia excluding China 2005'!$E13/IF(('Asia excluding China 2005'!$L13-'Asia excluding China 2005'!$J13-'Asia excluding China 2005'!$K13-'Asia excluding China 2005'!$G13-'Asia excluding China 2005'!$H13)=0,1,('Asia excluding China 2005'!$L13-'Asia excluding China 2005'!$J13-'Asia excluding China 2005'!$K13-'Asia excluding China 2005'!$G13-'Asia excluding China 2005'!$H13))</f>
        <v>1.9535698642137538E-2</v>
      </c>
      <c r="E119" s="40">
        <f>'Asia excluding China 2010'!$E13/IF(('Asia excluding China 2010'!$L13-'Asia excluding China 2010'!$J13-'Asia excluding China 2010'!$K13-'Asia excluding China 2010'!$G13-'Asia excluding China 2010'!$H13)=0,1,('Asia excluding China 2010'!$L13-'Asia excluding China 2010'!$J13-'Asia excluding China 2010'!$K13-'Asia excluding China 2010'!$G13-'Asia excluding China 2010'!$H13))</f>
        <v>1.9776582540339264E-2</v>
      </c>
      <c r="F119" s="40">
        <f>'Asia excluding China 2015'!$E13/IF(('Asia excluding China 2015'!$L13-'Asia excluding China 2015'!$J13-'Asia excluding China 2015'!$K13-'Asia excluding China 2015'!$G13-'Asia excluding China 2015'!$H13)=0,1,('Asia excluding China 2015'!$L13-'Asia excluding China 2015'!$J13-'Asia excluding China 2015'!$K13-'Asia excluding China 2015'!$G13-'Asia excluding China 2015'!$H13))</f>
        <v>1.594248202563301E-2</v>
      </c>
      <c r="G119" s="40">
        <f>'Asia excluding China 2018'!$E13/IF(('Asia excluding China 2018'!$L13-'Asia excluding China 2018'!$J13-'Asia excluding China 2018'!$K13-'Asia excluding China 2018'!$G13-'Asia excluding China 2018'!$H13)=0,1,('Asia excluding China 2018'!$L13-'Asia excluding China 2018'!$J13-'Asia excluding China 2018'!$K13-'Asia excluding China 2018'!$G13-'Asia excluding China 2018'!$H13))</f>
        <v>1.5365478890758762E-2</v>
      </c>
      <c r="H119" s="77">
        <f t="shared" si="1"/>
        <v>1.5365478890758762E-2</v>
      </c>
      <c r="I119" s="77">
        <f t="shared" si="1"/>
        <v>1.5365478890758762E-2</v>
      </c>
    </row>
    <row r="120" spans="1:11" x14ac:dyDescent="0.35">
      <c r="A120" s="30" t="s">
        <v>180</v>
      </c>
      <c r="B120" s="40">
        <f>'Asia excluding China 1995'!$F13/IF(('Asia excluding China 1995'!$L13-'Asia excluding China 1995'!$J13-'Asia excluding China 1995'!$K13-'Asia excluding China 1995'!$G13-'Asia excluding China 1995'!$H13)=0,1,('Asia excluding China 1995'!$L13-'Asia excluding China 1995'!$J13-'Asia excluding China 1995'!$K13-'Asia excluding China 1995'!$G13-'Asia excluding China 1995'!$H13))</f>
        <v>0</v>
      </c>
      <c r="C120" s="40">
        <f>'Asia excluding China 2000'!$F13/IF(('Asia excluding China 2000'!$L13-'Asia excluding China 2000'!$J13-'Asia excluding China 2000'!$K13-'Asia excluding China 2000'!$G13-'Asia excluding China 2000'!$H13)=0,1,('Asia excluding China 2000'!$L13-'Asia excluding China 2000'!$J13-'Asia excluding China 2000'!$K13-'Asia excluding China 2000'!$G13-'Asia excluding China 2000'!$H13))</f>
        <v>0</v>
      </c>
      <c r="D120" s="40">
        <f>'Asia excluding China 2005'!$F13/IF(('Asia excluding China 2005'!$L13-'Asia excluding China 2005'!$J13-'Asia excluding China 2005'!$K13-'Asia excluding China 2005'!$G13-'Asia excluding China 2005'!$H13)=0,1,('Asia excluding China 2005'!$L13-'Asia excluding China 2005'!$J13-'Asia excluding China 2005'!$K13-'Asia excluding China 2005'!$G13-'Asia excluding China 2005'!$H13))</f>
        <v>0</v>
      </c>
      <c r="E120" s="40">
        <f>'Asia excluding China 2010'!$F13/IF(('Asia excluding China 2010'!$L13-'Asia excluding China 2010'!$J13-'Asia excluding China 2010'!$K13-'Asia excluding China 2010'!$G13-'Asia excluding China 2010'!$H13)=0,1,('Asia excluding China 2010'!$L13-'Asia excluding China 2010'!$J13-'Asia excluding China 2010'!$K13-'Asia excluding China 2010'!$G13-'Asia excluding China 2010'!$H13))</f>
        <v>0</v>
      </c>
      <c r="F120" s="40">
        <f>'Asia excluding China 2015'!$F13/IF(('Asia excluding China 2015'!$L13-'Asia excluding China 2015'!$J13-'Asia excluding China 2015'!$K13-'Asia excluding China 2015'!$G13-'Asia excluding China 2015'!$H13)=0,1,('Asia excluding China 2015'!$L13-'Asia excluding China 2015'!$J13-'Asia excluding China 2015'!$K13-'Asia excluding China 2015'!$G13-'Asia excluding China 2015'!$H13))</f>
        <v>0</v>
      </c>
      <c r="G120" s="40">
        <f>'Asia excluding China 2018'!$F13/IF(('Asia excluding China 2018'!$L13-'Asia excluding China 2018'!$J13-'Asia excluding China 2018'!$K13-'Asia excluding China 2018'!$G13-'Asia excluding China 2018'!$H13)=0,1,('Asia excluding China 2018'!$L13-'Asia excluding China 2018'!$J13-'Asia excluding China 2018'!$K13-'Asia excluding China 2018'!$G13-'Asia excluding China 2018'!$H13))</f>
        <v>0</v>
      </c>
      <c r="H120" s="77">
        <f t="shared" si="1"/>
        <v>0</v>
      </c>
      <c r="I120" s="77">
        <f t="shared" si="1"/>
        <v>0</v>
      </c>
    </row>
    <row r="121" spans="1:11" x14ac:dyDescent="0.35">
      <c r="A121" s="30" t="s">
        <v>146</v>
      </c>
      <c r="B121" s="40">
        <f>'Asia excluding China 1995'!$I13/IF(('Asia excluding China 1995'!$L13-'Asia excluding China 1995'!$J13-'Asia excluding China 1995'!$K13-'Asia excluding China 1995'!$G13-'Asia excluding China 1995'!$H13)=0,1,('Asia excluding China 1995'!$L13-'Asia excluding China 1995'!$J13-'Asia excluding China 1995'!$K13-'Asia excluding China 1995'!$G13-'Asia excluding China 1995'!$H13))</f>
        <v>0</v>
      </c>
      <c r="C121" s="40">
        <f>'Asia excluding China 2000'!$I13/IF(('Asia excluding China 2000'!$L13-'Asia excluding China 2000'!$J13-'Asia excluding China 2000'!$K13-'Asia excluding China 2000'!$G13-'Asia excluding China 2000'!$H13)=0,1,('Asia excluding China 2000'!$L13-'Asia excluding China 2000'!$J13-'Asia excluding China 2000'!$K13-'Asia excluding China 2000'!$G13-'Asia excluding China 2000'!$H13))</f>
        <v>0</v>
      </c>
      <c r="D121" s="40">
        <f>'Asia excluding China 2005'!$I13/IF(('Asia excluding China 2005'!$L13-'Asia excluding China 2005'!$J13-'Asia excluding China 2005'!$K13-'Asia excluding China 2005'!$G13-'Asia excluding China 2005'!$H13)=0,1,('Asia excluding China 2005'!$L13-'Asia excluding China 2005'!$J13-'Asia excluding China 2005'!$K13-'Asia excluding China 2005'!$G13-'Asia excluding China 2005'!$H13))</f>
        <v>8.8304862023653091E-2</v>
      </c>
      <c r="E121" s="40">
        <f>'Asia excluding China 2010'!$I13/IF(('Asia excluding China 2010'!$L13-'Asia excluding China 2010'!$J13-'Asia excluding China 2010'!$K13-'Asia excluding China 2010'!$G13-'Asia excluding China 2010'!$H13)=0,1,('Asia excluding China 2010'!$L13-'Asia excluding China 2010'!$J13-'Asia excluding China 2010'!$K13-'Asia excluding China 2010'!$G13-'Asia excluding China 2010'!$H13))</f>
        <v>8.5808853951179154E-2</v>
      </c>
      <c r="F121" s="40">
        <f>'Asia excluding China 2015'!$I13/IF(('Asia excluding China 2015'!$L13-'Asia excluding China 2015'!$J13-'Asia excluding China 2015'!$K13-'Asia excluding China 2015'!$G13-'Asia excluding China 2015'!$H13)=0,1,('Asia excluding China 2015'!$L13-'Asia excluding China 2015'!$J13-'Asia excluding China 2015'!$K13-'Asia excluding China 2015'!$G13-'Asia excluding China 2015'!$H13))</f>
        <v>8.6980306345733047E-2</v>
      </c>
      <c r="G121" s="40">
        <f>'Asia excluding China 2018'!$I13/IF(('Asia excluding China 2018'!$L13-'Asia excluding China 2018'!$J13-'Asia excluding China 2018'!$K13-'Asia excluding China 2018'!$G13-'Asia excluding China 2018'!$H13)=0,1,('Asia excluding China 2018'!$L13-'Asia excluding China 2018'!$J13-'Asia excluding China 2018'!$K13-'Asia excluding China 2018'!$G13-'Asia excluding China 2018'!$H13))</f>
        <v>8.063217970293407E-2</v>
      </c>
      <c r="H121" s="77">
        <f t="shared" si="1"/>
        <v>8.063217970293407E-2</v>
      </c>
      <c r="I121" s="77">
        <f t="shared" si="1"/>
        <v>8.063217970293407E-2</v>
      </c>
    </row>
    <row r="122" spans="1:11" x14ac:dyDescent="0.35">
      <c r="A122" s="32" t="s">
        <v>182</v>
      </c>
      <c r="B122" s="82"/>
      <c r="C122" s="82"/>
      <c r="D122" s="82"/>
      <c r="E122" s="82"/>
      <c r="F122" s="82"/>
      <c r="G122" s="82"/>
      <c r="H122" s="42"/>
      <c r="I122" s="42"/>
    </row>
    <row r="123" spans="1:11" x14ac:dyDescent="0.35">
      <c r="A123" s="30" t="s">
        <v>141</v>
      </c>
      <c r="B123" s="40">
        <f>'Asia excluding China 1995'!$B14/IF(('Asia excluding China 1995'!$L14-'Asia excluding China 1995'!$J14-'Asia excluding China 1995'!$K14-'Asia excluding China 1995'!$G14-'Asia excluding China 1995'!$H14)=0,1,('Asia excluding China 1995'!$L14-'Asia excluding China 1995'!$J14-'Asia excluding China 1995'!$K14-'Asia excluding China 1995'!$G14-'Asia excluding China 1995'!$H14))</f>
        <v>0</v>
      </c>
      <c r="C123" s="40">
        <f>'Asia excluding China 2000'!$B14/IF(('Asia excluding China 2000'!$L14-'Asia excluding China 2000'!$J14-'Asia excluding China 2000'!$K14-'Asia excluding China 2000'!$G14-'Asia excluding China 2000'!$H14)=0,1,('Asia excluding China 2000'!$L14-'Asia excluding China 2000'!$J14-'Asia excluding China 2000'!$K14-'Asia excluding China 2000'!$G14-'Asia excluding China 2000'!$H14))</f>
        <v>0</v>
      </c>
      <c r="D123" s="40">
        <f>'Asia excluding China 2005'!$B14/IF(('Asia excluding China 2005'!$L14-'Asia excluding China 2005'!$J14-'Asia excluding China 2005'!$K14-'Asia excluding China 2005'!$G14-'Asia excluding China 2005'!$H14)=0,1,('Asia excluding China 2005'!$L14-'Asia excluding China 2005'!$J14-'Asia excluding China 2005'!$K14-'Asia excluding China 2005'!$G14-'Asia excluding China 2005'!$H14))</f>
        <v>0</v>
      </c>
      <c r="E123" s="40">
        <f>'Asia excluding China 2010'!$B14/IF(('Asia excluding China 2010'!$L14-'Asia excluding China 2010'!$J14-'Asia excluding China 2010'!$K14-'Asia excluding China 2010'!$G14-'Asia excluding China 2010'!$H14)=0,1,('Asia excluding China 2010'!$L14-'Asia excluding China 2010'!$J14-'Asia excluding China 2010'!$K14-'Asia excluding China 2010'!$G14-'Asia excluding China 2010'!$H14))</f>
        <v>0</v>
      </c>
      <c r="F123" s="40">
        <f>'Asia excluding China 2015'!$B14/IF(('Asia excluding China 2015'!$L14-'Asia excluding China 2015'!$J14-'Asia excluding China 2015'!$K14-'Asia excluding China 2015'!$G14-'Asia excluding China 2015'!$H14)=0,1,('Asia excluding China 2015'!$L14-'Asia excluding China 2015'!$J14-'Asia excluding China 2015'!$K14-'Asia excluding China 2015'!$G14-'Asia excluding China 2015'!$H14))</f>
        <v>0</v>
      </c>
      <c r="G123" s="40">
        <f>'Asia excluding China 2018'!$B14/IF(('Asia excluding China 2018'!$L14-'Asia excluding China 2018'!$J14-'Asia excluding China 2018'!$K14-'Asia excluding China 2018'!$G14-'Asia excluding China 2018'!$H14)=0,1,('Asia excluding China 2018'!$L14-'Asia excluding China 2018'!$J14-'Asia excluding China 2018'!$K14-'Asia excluding China 2018'!$G14-'Asia excluding China 2018'!$H14))</f>
        <v>0</v>
      </c>
      <c r="H123" s="77">
        <f t="shared" si="1"/>
        <v>0</v>
      </c>
      <c r="I123" s="77">
        <f t="shared" si="1"/>
        <v>0</v>
      </c>
    </row>
    <row r="124" spans="1:11" x14ac:dyDescent="0.35">
      <c r="A124" s="30" t="s">
        <v>142</v>
      </c>
      <c r="B124" s="40">
        <f>'Asia excluding China 1995'!$C14/IF(('Asia excluding China 1995'!$L14-'Asia excluding China 1995'!$J14-'Asia excluding China 1995'!$K14-'Asia excluding China 1995'!$G14-'Asia excluding China 1995'!$H14)=0,1,('Asia excluding China 1995'!$L14-'Asia excluding China 1995'!$J14-'Asia excluding China 1995'!$K14-'Asia excluding China 1995'!$G14-'Asia excluding China 1995'!$H14))</f>
        <v>0</v>
      </c>
      <c r="C124" s="40">
        <f>'Asia excluding China 2000'!$C14/IF(('Asia excluding China 2000'!$L14-'Asia excluding China 2000'!$J14-'Asia excluding China 2000'!$K14-'Asia excluding China 2000'!$G14-'Asia excluding China 2000'!$H14)=0,1,('Asia excluding China 2000'!$L14-'Asia excluding China 2000'!$J14-'Asia excluding China 2000'!$K14-'Asia excluding China 2000'!$G14-'Asia excluding China 2000'!$H14))</f>
        <v>0</v>
      </c>
      <c r="D124" s="40">
        <f>'Asia excluding China 2005'!$C14/IF(('Asia excluding China 2005'!$L14-'Asia excluding China 2005'!$J14-'Asia excluding China 2005'!$K14-'Asia excluding China 2005'!$G14-'Asia excluding China 2005'!$H14)=0,1,('Asia excluding China 2005'!$L14-'Asia excluding China 2005'!$J14-'Asia excluding China 2005'!$K14-'Asia excluding China 2005'!$G14-'Asia excluding China 2005'!$H14))</f>
        <v>0</v>
      </c>
      <c r="E124" s="40">
        <f>'Asia excluding China 2010'!$C14/IF(('Asia excluding China 2010'!$L14-'Asia excluding China 2010'!$J14-'Asia excluding China 2010'!$K14-'Asia excluding China 2010'!$G14-'Asia excluding China 2010'!$H14)=0,1,('Asia excluding China 2010'!$L14-'Asia excluding China 2010'!$J14-'Asia excluding China 2010'!$K14-'Asia excluding China 2010'!$G14-'Asia excluding China 2010'!$H14))</f>
        <v>0</v>
      </c>
      <c r="F124" s="40">
        <f>'Asia excluding China 2015'!$C14/IF(('Asia excluding China 2015'!$L14-'Asia excluding China 2015'!$J14-'Asia excluding China 2015'!$K14-'Asia excluding China 2015'!$G14-'Asia excluding China 2015'!$H14)=0,1,('Asia excluding China 2015'!$L14-'Asia excluding China 2015'!$J14-'Asia excluding China 2015'!$K14-'Asia excluding China 2015'!$G14-'Asia excluding China 2015'!$H14))</f>
        <v>0</v>
      </c>
      <c r="G124" s="40">
        <f>'Asia excluding China 2018'!$C14/IF(('Asia excluding China 2018'!$L14-'Asia excluding China 2018'!$J14-'Asia excluding China 2018'!$K14-'Asia excluding China 2018'!$G14-'Asia excluding China 2018'!$H14)=0,1,('Asia excluding China 2018'!$L14-'Asia excluding China 2018'!$J14-'Asia excluding China 2018'!$K14-'Asia excluding China 2018'!$G14-'Asia excluding China 2018'!$H14))</f>
        <v>0</v>
      </c>
      <c r="H124" s="77">
        <f t="shared" si="1"/>
        <v>0</v>
      </c>
      <c r="I124" s="77">
        <f t="shared" si="1"/>
        <v>0</v>
      </c>
    </row>
    <row r="125" spans="1:11" x14ac:dyDescent="0.35">
      <c r="A125" s="30" t="s">
        <v>143</v>
      </c>
      <c r="B125" s="40">
        <f>'Asia excluding China 1995'!$D14/IF(('Asia excluding China 1995'!$L14-'Asia excluding China 1995'!$J14-'Asia excluding China 1995'!$K14-'Asia excluding China 1995'!$G14-'Asia excluding China 1995'!$H14)=0,1,('Asia excluding China 1995'!$L14-'Asia excluding China 1995'!$J14-'Asia excluding China 1995'!$K14-'Asia excluding China 1995'!$G14-'Asia excluding China 1995'!$H14))</f>
        <v>0</v>
      </c>
      <c r="C125" s="40">
        <f>'Asia excluding China 2000'!$D14/IF(('Asia excluding China 2000'!$L14-'Asia excluding China 2000'!$J14-'Asia excluding China 2000'!$K14-'Asia excluding China 2000'!$G14-'Asia excluding China 2000'!$H14)=0,1,('Asia excluding China 2000'!$L14-'Asia excluding China 2000'!$J14-'Asia excluding China 2000'!$K14-'Asia excluding China 2000'!$G14-'Asia excluding China 2000'!$H14))</f>
        <v>0</v>
      </c>
      <c r="D125" s="40">
        <f>'Asia excluding China 2005'!$D14/IF(('Asia excluding China 2005'!$L14-'Asia excluding China 2005'!$J14-'Asia excluding China 2005'!$K14-'Asia excluding China 2005'!$G14-'Asia excluding China 2005'!$H14)=0,1,('Asia excluding China 2005'!$L14-'Asia excluding China 2005'!$J14-'Asia excluding China 2005'!$K14-'Asia excluding China 2005'!$G14-'Asia excluding China 2005'!$H14))</f>
        <v>0</v>
      </c>
      <c r="E125" s="40">
        <f>'Asia excluding China 2010'!$D14/IF(('Asia excluding China 2010'!$L14-'Asia excluding China 2010'!$J14-'Asia excluding China 2010'!$K14-'Asia excluding China 2010'!$G14-'Asia excluding China 2010'!$H14)=0,1,('Asia excluding China 2010'!$L14-'Asia excluding China 2010'!$J14-'Asia excluding China 2010'!$K14-'Asia excluding China 2010'!$G14-'Asia excluding China 2010'!$H14))</f>
        <v>0</v>
      </c>
      <c r="F125" s="40">
        <f>'Asia excluding China 2015'!$D14/IF(('Asia excluding China 2015'!$L14-'Asia excluding China 2015'!$J14-'Asia excluding China 2015'!$K14-'Asia excluding China 2015'!$G14-'Asia excluding China 2015'!$H14)=0,1,('Asia excluding China 2015'!$L14-'Asia excluding China 2015'!$J14-'Asia excluding China 2015'!$K14-'Asia excluding China 2015'!$G14-'Asia excluding China 2015'!$H14))</f>
        <v>0</v>
      </c>
      <c r="G125" s="40">
        <f>'Asia excluding China 2018'!$D14/IF(('Asia excluding China 2018'!$L14-'Asia excluding China 2018'!$J14-'Asia excluding China 2018'!$K14-'Asia excluding China 2018'!$G14-'Asia excluding China 2018'!$H14)=0,1,('Asia excluding China 2018'!$L14-'Asia excluding China 2018'!$J14-'Asia excluding China 2018'!$K14-'Asia excluding China 2018'!$G14-'Asia excluding China 2018'!$H14))</f>
        <v>0</v>
      </c>
      <c r="H125" s="77">
        <f t="shared" si="1"/>
        <v>0</v>
      </c>
      <c r="I125" s="77">
        <f t="shared" si="1"/>
        <v>0</v>
      </c>
    </row>
    <row r="126" spans="1:11" x14ac:dyDescent="0.35">
      <c r="A126" s="30" t="s">
        <v>241</v>
      </c>
      <c r="B126" s="40">
        <f>'Asia excluding China 1995'!$E14/IF(('Asia excluding China 1995'!$L14-'Asia excluding China 1995'!$J14-'Asia excluding China 1995'!$K14-'Asia excluding China 1995'!$G14-'Asia excluding China 1995'!$H14)=0,1,('Asia excluding China 1995'!$L14-'Asia excluding China 1995'!$J14-'Asia excluding China 1995'!$K14-'Asia excluding China 1995'!$G14-'Asia excluding China 1995'!$H14))</f>
        <v>0</v>
      </c>
      <c r="C126" s="40">
        <f>'Asia excluding China 2000'!$E14/IF(('Asia excluding China 2000'!$L14-'Asia excluding China 2000'!$J14-'Asia excluding China 2000'!$K14-'Asia excluding China 2000'!$G14-'Asia excluding China 2000'!$H14)=0,1,('Asia excluding China 2000'!$L14-'Asia excluding China 2000'!$J14-'Asia excluding China 2000'!$K14-'Asia excluding China 2000'!$G14-'Asia excluding China 2000'!$H14))</f>
        <v>0</v>
      </c>
      <c r="D126" s="40">
        <f>'Asia excluding China 2005'!$E14/IF(('Asia excluding China 2005'!$L14-'Asia excluding China 2005'!$J14-'Asia excluding China 2005'!$K14-'Asia excluding China 2005'!$G14-'Asia excluding China 2005'!$H14)=0,1,('Asia excluding China 2005'!$L14-'Asia excluding China 2005'!$J14-'Asia excluding China 2005'!$K14-'Asia excluding China 2005'!$G14-'Asia excluding China 2005'!$H14))</f>
        <v>0</v>
      </c>
      <c r="E126" s="40">
        <f>'Asia excluding China 2010'!$E14/IF(('Asia excluding China 2010'!$L14-'Asia excluding China 2010'!$J14-'Asia excluding China 2010'!$K14-'Asia excluding China 2010'!$G14-'Asia excluding China 2010'!$H14)=0,1,('Asia excluding China 2010'!$L14-'Asia excluding China 2010'!$J14-'Asia excluding China 2010'!$K14-'Asia excluding China 2010'!$G14-'Asia excluding China 2010'!$H14))</f>
        <v>0</v>
      </c>
      <c r="F126" s="40">
        <f>'Asia excluding China 2015'!$E14/IF(('Asia excluding China 2015'!$L14-'Asia excluding China 2015'!$J14-'Asia excluding China 2015'!$K14-'Asia excluding China 2015'!$G14-'Asia excluding China 2015'!$H14)=0,1,('Asia excluding China 2015'!$L14-'Asia excluding China 2015'!$J14-'Asia excluding China 2015'!$K14-'Asia excluding China 2015'!$G14-'Asia excluding China 2015'!$H14))</f>
        <v>0</v>
      </c>
      <c r="G126" s="40">
        <f>'Asia excluding China 2018'!$E14/IF(('Asia excluding China 2018'!$L14-'Asia excluding China 2018'!$J14-'Asia excluding China 2018'!$K14-'Asia excluding China 2018'!$G14-'Asia excluding China 2018'!$H14)=0,1,('Asia excluding China 2018'!$L14-'Asia excluding China 2018'!$J14-'Asia excluding China 2018'!$K14-'Asia excluding China 2018'!$G14-'Asia excluding China 2018'!$H14))</f>
        <v>0</v>
      </c>
      <c r="H126" s="89">
        <f>1-H123-H124-H125-H127-H128</f>
        <v>1</v>
      </c>
      <c r="I126" s="89">
        <f>1-I123-I124-I125-I127-I128</f>
        <v>1</v>
      </c>
    </row>
    <row r="127" spans="1:11" x14ac:dyDescent="0.35">
      <c r="A127" s="30" t="s">
        <v>180</v>
      </c>
      <c r="B127" s="40">
        <f>'Asia excluding China 1995'!$F14/IF(('Asia excluding China 1995'!$L14-'Asia excluding China 1995'!$J14-'Asia excluding China 1995'!$K14-'Asia excluding China 1995'!$G14-'Asia excluding China 1995'!$H14)=0,1,('Asia excluding China 1995'!$L14-'Asia excluding China 1995'!$J14-'Asia excluding China 1995'!$K14-'Asia excluding China 1995'!$G14-'Asia excluding China 1995'!$H14))</f>
        <v>0</v>
      </c>
      <c r="C127" s="40">
        <f>'Asia excluding China 2000'!$F14/IF(('Asia excluding China 2000'!$L14-'Asia excluding China 2000'!$J14-'Asia excluding China 2000'!$K14-'Asia excluding China 2000'!$G14-'Asia excluding China 2000'!$H14)=0,1,('Asia excluding China 2000'!$L14-'Asia excluding China 2000'!$J14-'Asia excluding China 2000'!$K14-'Asia excluding China 2000'!$G14-'Asia excluding China 2000'!$H14))</f>
        <v>0</v>
      </c>
      <c r="D127" s="40">
        <f>'Asia excluding China 2005'!$F14/IF(('Asia excluding China 2005'!$L14-'Asia excluding China 2005'!$J14-'Asia excluding China 2005'!$K14-'Asia excluding China 2005'!$G14-'Asia excluding China 2005'!$H14)=0,1,('Asia excluding China 2005'!$L14-'Asia excluding China 2005'!$J14-'Asia excluding China 2005'!$K14-'Asia excluding China 2005'!$G14-'Asia excluding China 2005'!$H14))</f>
        <v>0</v>
      </c>
      <c r="E127" s="40">
        <f>'Asia excluding China 2010'!$F14/IF(('Asia excluding China 2010'!$L14-'Asia excluding China 2010'!$J14-'Asia excluding China 2010'!$K14-'Asia excluding China 2010'!$G14-'Asia excluding China 2010'!$H14)=0,1,('Asia excluding China 2010'!$L14-'Asia excluding China 2010'!$J14-'Asia excluding China 2010'!$K14-'Asia excluding China 2010'!$G14-'Asia excluding China 2010'!$H14))</f>
        <v>0</v>
      </c>
      <c r="F127" s="40">
        <f>'Asia excluding China 2015'!$F14/IF(('Asia excluding China 2015'!$L14-'Asia excluding China 2015'!$J14-'Asia excluding China 2015'!$K14-'Asia excluding China 2015'!$G14-'Asia excluding China 2015'!$H14)=0,1,('Asia excluding China 2015'!$L14-'Asia excluding China 2015'!$J14-'Asia excluding China 2015'!$K14-'Asia excluding China 2015'!$G14-'Asia excluding China 2015'!$H14))</f>
        <v>0</v>
      </c>
      <c r="G127" s="40">
        <f>'Asia excluding China 2018'!$F14/IF(('Asia excluding China 2018'!$L14-'Asia excluding China 2018'!$J14-'Asia excluding China 2018'!$K14-'Asia excluding China 2018'!$G14-'Asia excluding China 2018'!$H14)=0,1,('Asia excluding China 2018'!$L14-'Asia excluding China 2018'!$J14-'Asia excluding China 2018'!$K14-'Asia excluding China 2018'!$G14-'Asia excluding China 2018'!$H14))</f>
        <v>0</v>
      </c>
      <c r="H127" s="77">
        <f t="shared" si="1"/>
        <v>0</v>
      </c>
      <c r="I127" s="77">
        <f t="shared" si="1"/>
        <v>0</v>
      </c>
      <c r="K127" s="7"/>
    </row>
    <row r="128" spans="1:11" x14ac:dyDescent="0.35">
      <c r="A128" s="30" t="s">
        <v>146</v>
      </c>
      <c r="B128" s="40">
        <f>'Asia excluding China 1995'!$I14/IF(('Asia excluding China 1995'!$L14-'Asia excluding China 1995'!$J14-'Asia excluding China 1995'!$K14-'Asia excluding China 1995'!$G14-'Asia excluding China 1995'!$H14)=0,1,('Asia excluding China 1995'!$L14-'Asia excluding China 1995'!$J14-'Asia excluding China 1995'!$K14-'Asia excluding China 1995'!$G14-'Asia excluding China 1995'!$H14))</f>
        <v>0</v>
      </c>
      <c r="C128" s="40">
        <f>'Asia excluding China 2000'!$I14/IF(('Asia excluding China 2000'!$L14-'Asia excluding China 2000'!$J14-'Asia excluding China 2000'!$K14-'Asia excluding China 2000'!$G14-'Asia excluding China 2000'!$H14)=0,1,('Asia excluding China 2000'!$L14-'Asia excluding China 2000'!$J14-'Asia excluding China 2000'!$K14-'Asia excluding China 2000'!$G14-'Asia excluding China 2000'!$H14))</f>
        <v>0</v>
      </c>
      <c r="D128" s="40">
        <f>'Asia excluding China 2005'!$I14/IF(('Asia excluding China 2005'!$L14-'Asia excluding China 2005'!$J14-'Asia excluding China 2005'!$K14-'Asia excluding China 2005'!$G14-'Asia excluding China 2005'!$H14)=0,1,('Asia excluding China 2005'!$L14-'Asia excluding China 2005'!$J14-'Asia excluding China 2005'!$K14-'Asia excluding China 2005'!$G14-'Asia excluding China 2005'!$H14))</f>
        <v>0</v>
      </c>
      <c r="E128" s="40">
        <f>'Asia excluding China 2010'!$I14/IF(('Asia excluding China 2010'!$L14-'Asia excluding China 2010'!$J14-'Asia excluding China 2010'!$K14-'Asia excluding China 2010'!$G14-'Asia excluding China 2010'!$H14)=0,1,('Asia excluding China 2010'!$L14-'Asia excluding China 2010'!$J14-'Asia excluding China 2010'!$K14-'Asia excluding China 2010'!$G14-'Asia excluding China 2010'!$H14))</f>
        <v>0</v>
      </c>
      <c r="F128" s="40">
        <f>'Asia excluding China 2015'!$I14/IF(('Asia excluding China 2015'!$L14-'Asia excluding China 2015'!$J14-'Asia excluding China 2015'!$K14-'Asia excluding China 2015'!$G14-'Asia excluding China 2015'!$H14)=0,1,('Asia excluding China 2015'!$L14-'Asia excluding China 2015'!$J14-'Asia excluding China 2015'!$K14-'Asia excluding China 2015'!$G14-'Asia excluding China 2015'!$H14))</f>
        <v>0</v>
      </c>
      <c r="G128" s="40">
        <f>'Asia excluding China 2018'!$I14/IF(('Asia excluding China 2018'!$L14-'Asia excluding China 2018'!$J14-'Asia excluding China 2018'!$K14-'Asia excluding China 2018'!$G14-'Asia excluding China 2018'!$H14)=0,1,('Asia excluding China 2018'!$L14-'Asia excluding China 2018'!$J14-'Asia excluding China 2018'!$K14-'Asia excluding China 2018'!$G14-'Asia excluding China 2018'!$H14))</f>
        <v>0</v>
      </c>
      <c r="H128" s="77">
        <f t="shared" si="1"/>
        <v>0</v>
      </c>
      <c r="I128" s="77">
        <f t="shared" si="1"/>
        <v>0</v>
      </c>
    </row>
    <row r="129" spans="1:9" x14ac:dyDescent="0.35">
      <c r="A129" s="32" t="s">
        <v>183</v>
      </c>
      <c r="B129" s="82"/>
      <c r="C129" s="82"/>
      <c r="D129" s="82"/>
      <c r="E129" s="82"/>
      <c r="F129" s="82"/>
      <c r="G129" s="82"/>
      <c r="H129" s="42"/>
      <c r="I129" s="42"/>
    </row>
    <row r="130" spans="1:9" x14ac:dyDescent="0.35">
      <c r="A130" s="30" t="s">
        <v>142</v>
      </c>
      <c r="B130" s="40">
        <v>1</v>
      </c>
      <c r="C130" s="40">
        <v>1</v>
      </c>
      <c r="D130" s="40">
        <v>1</v>
      </c>
      <c r="E130" s="40">
        <v>1</v>
      </c>
      <c r="F130" s="40">
        <v>1</v>
      </c>
      <c r="G130" s="40">
        <v>1</v>
      </c>
      <c r="H130" s="89">
        <f>1-H131</f>
        <v>1</v>
      </c>
      <c r="I130" s="89">
        <f>1-I131</f>
        <v>1</v>
      </c>
    </row>
    <row r="131" spans="1:9" x14ac:dyDescent="0.35">
      <c r="A131" s="30" t="s">
        <v>146</v>
      </c>
      <c r="B131" s="40">
        <v>0</v>
      </c>
      <c r="C131" s="40">
        <v>0</v>
      </c>
      <c r="D131" s="40">
        <v>0</v>
      </c>
      <c r="E131" s="40">
        <v>0</v>
      </c>
      <c r="F131" s="40">
        <v>0</v>
      </c>
      <c r="G131" s="40">
        <v>0</v>
      </c>
      <c r="H131" s="77">
        <f t="shared" si="1"/>
        <v>0</v>
      </c>
      <c r="I131" s="77">
        <f t="shared" si="1"/>
        <v>0</v>
      </c>
    </row>
    <row r="132" spans="1:9" x14ac:dyDescent="0.35">
      <c r="A132" s="30"/>
      <c r="B132" s="40">
        <v>0</v>
      </c>
      <c r="C132" s="40">
        <v>0</v>
      </c>
      <c r="D132" s="40">
        <v>0</v>
      </c>
      <c r="E132" s="40">
        <v>0</v>
      </c>
      <c r="F132" s="40">
        <v>0</v>
      </c>
      <c r="G132" s="40">
        <v>0</v>
      </c>
      <c r="H132" s="77">
        <f t="shared" si="1"/>
        <v>0</v>
      </c>
      <c r="I132" s="77">
        <f t="shared" si="1"/>
        <v>0</v>
      </c>
    </row>
    <row r="133" spans="1:9" x14ac:dyDescent="0.35">
      <c r="A133" s="32" t="s">
        <v>184</v>
      </c>
      <c r="B133" s="42"/>
      <c r="C133" s="42"/>
      <c r="D133" s="42"/>
      <c r="E133" s="42"/>
      <c r="F133" s="42"/>
      <c r="G133" s="42"/>
      <c r="H133" s="42"/>
      <c r="I133" s="42"/>
    </row>
    <row r="134" spans="1:9" x14ac:dyDescent="0.35">
      <c r="A134" s="30" t="s">
        <v>185</v>
      </c>
      <c r="H134" s="77">
        <v>0</v>
      </c>
      <c r="I134" s="77">
        <v>0</v>
      </c>
    </row>
    <row r="135" spans="1:9" x14ac:dyDescent="0.35">
      <c r="A135" s="30" t="s">
        <v>186</v>
      </c>
      <c r="H135" s="77">
        <v>0</v>
      </c>
      <c r="I135" s="77">
        <v>0</v>
      </c>
    </row>
    <row r="136" spans="1:9" x14ac:dyDescent="0.35">
      <c r="A136" s="30" t="s">
        <v>245</v>
      </c>
      <c r="H136" s="77">
        <v>0</v>
      </c>
      <c r="I136" s="77">
        <v>0</v>
      </c>
    </row>
    <row r="137" spans="1:9" x14ac:dyDescent="0.35">
      <c r="A137" s="30" t="s">
        <v>188</v>
      </c>
      <c r="H137" s="77">
        <v>0</v>
      </c>
      <c r="I137" s="77">
        <v>0</v>
      </c>
    </row>
    <row r="138" spans="1:9" x14ac:dyDescent="0.35">
      <c r="A138" s="32" t="s">
        <v>189</v>
      </c>
      <c r="B138" s="42"/>
      <c r="C138" s="42"/>
      <c r="D138" s="42"/>
      <c r="E138" s="42"/>
      <c r="F138" s="42"/>
      <c r="G138" s="42"/>
      <c r="H138" s="42"/>
      <c r="I138" s="42"/>
    </row>
    <row r="139" spans="1:9" x14ac:dyDescent="0.35">
      <c r="A139" s="30" t="s">
        <v>190</v>
      </c>
      <c r="G139" s="94">
        <v>0.8</v>
      </c>
      <c r="H139" s="93">
        <f>G139</f>
        <v>0.8</v>
      </c>
      <c r="I139" s="77">
        <f t="shared" ref="I139:I142" si="5">H139</f>
        <v>0.8</v>
      </c>
    </row>
    <row r="140" spans="1:9" x14ac:dyDescent="0.35">
      <c r="A140" s="30" t="s">
        <v>191</v>
      </c>
      <c r="G140" s="94">
        <v>0.3</v>
      </c>
      <c r="H140" s="93">
        <f t="shared" ref="H140:H142" si="6">G140</f>
        <v>0.3</v>
      </c>
      <c r="I140" s="77">
        <f t="shared" si="5"/>
        <v>0.3</v>
      </c>
    </row>
    <row r="141" spans="1:9" x14ac:dyDescent="0.35">
      <c r="A141" s="30" t="s">
        <v>192</v>
      </c>
      <c r="G141" s="94">
        <v>0.95</v>
      </c>
      <c r="H141" s="93">
        <f t="shared" si="6"/>
        <v>0.95</v>
      </c>
      <c r="I141" s="77">
        <f t="shared" si="5"/>
        <v>0.95</v>
      </c>
    </row>
    <row r="142" spans="1:9" x14ac:dyDescent="0.35">
      <c r="A142" s="30" t="s">
        <v>193</v>
      </c>
      <c r="G142" s="94">
        <v>1</v>
      </c>
      <c r="H142" s="93">
        <f t="shared" si="6"/>
        <v>1</v>
      </c>
      <c r="I142" s="77">
        <f t="shared" si="5"/>
        <v>1</v>
      </c>
    </row>
  </sheetData>
  <mergeCells count="1">
    <mergeCell ref="B3:I3"/>
  </mergeCells>
  <pageMargins left="0.7" right="0.7" top="0.75" bottom="0.75" header="0.3" footer="0.3"/>
  <pageSetup paperSize="9" orientation="portrait" horizontalDpi="4294967293" verticalDpi="4294967293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Ark27"/>
  <dimension ref="A1:L32"/>
  <sheetViews>
    <sheetView workbookViewId="0">
      <selection activeCell="P34" sqref="P34"/>
    </sheetView>
  </sheetViews>
  <sheetFormatPr defaultRowHeight="14.5" x14ac:dyDescent="0.35"/>
  <cols>
    <col min="1" max="1" width="30" customWidth="1"/>
    <col min="2" max="2" width="11.54296875" customWidth="1"/>
    <col min="3" max="3" width="12" customWidth="1"/>
    <col min="4" max="4" width="14.54296875" customWidth="1"/>
    <col min="5" max="5" width="14.1796875" customWidth="1"/>
    <col min="8" max="8" width="22.81640625" customWidth="1"/>
    <col min="9" max="9" width="21.81640625" customWidth="1"/>
    <col min="10" max="10" width="13.81640625" customWidth="1"/>
    <col min="11" max="11" width="12.26953125" customWidth="1"/>
    <col min="12" max="12" width="11.81640625" customWidth="1"/>
  </cols>
  <sheetData>
    <row r="1" spans="1:12" x14ac:dyDescent="0.35">
      <c r="B1" t="s">
        <v>214</v>
      </c>
      <c r="C1" t="s">
        <v>2</v>
      </c>
      <c r="D1" t="s">
        <v>215</v>
      </c>
      <c r="E1" t="s">
        <v>216</v>
      </c>
      <c r="F1" t="s">
        <v>5</v>
      </c>
      <c r="G1" t="s">
        <v>6</v>
      </c>
      <c r="H1" t="s">
        <v>217</v>
      </c>
      <c r="I1" t="s">
        <v>8</v>
      </c>
      <c r="J1" t="s">
        <v>9</v>
      </c>
      <c r="K1" t="s">
        <v>10</v>
      </c>
      <c r="L1" t="s">
        <v>218</v>
      </c>
    </row>
    <row r="2" spans="1:12" x14ac:dyDescent="0.35">
      <c r="B2" t="s">
        <v>219</v>
      </c>
      <c r="C2" t="s">
        <v>219</v>
      </c>
      <c r="D2" t="s">
        <v>219</v>
      </c>
      <c r="E2" t="s">
        <v>219</v>
      </c>
      <c r="F2" t="s">
        <v>219</v>
      </c>
      <c r="G2" t="s">
        <v>219</v>
      </c>
      <c r="H2" t="s">
        <v>219</v>
      </c>
      <c r="I2" t="s">
        <v>219</v>
      </c>
      <c r="J2" t="s">
        <v>219</v>
      </c>
      <c r="K2" t="s">
        <v>219</v>
      </c>
      <c r="L2" t="s">
        <v>219</v>
      </c>
    </row>
    <row r="3" spans="1:12" x14ac:dyDescent="0.35">
      <c r="A3" t="s">
        <v>17</v>
      </c>
      <c r="B3" s="7">
        <v>174089</v>
      </c>
      <c r="C3" s="7">
        <v>187762</v>
      </c>
      <c r="D3" s="7"/>
      <c r="E3" s="7">
        <v>138194</v>
      </c>
      <c r="F3" s="7">
        <v>11408</v>
      </c>
      <c r="G3" s="7">
        <v>14150</v>
      </c>
      <c r="H3" s="7">
        <v>9193</v>
      </c>
      <c r="I3" s="7">
        <v>279512</v>
      </c>
      <c r="J3" s="7"/>
      <c r="K3" s="7"/>
      <c r="L3" s="7">
        <v>814308</v>
      </c>
    </row>
    <row r="4" spans="1:12" x14ac:dyDescent="0.35">
      <c r="A4" t="s">
        <v>220</v>
      </c>
      <c r="B4" s="7">
        <v>34505</v>
      </c>
      <c r="C4" s="7">
        <v>170026</v>
      </c>
      <c r="D4" s="7">
        <v>105268</v>
      </c>
      <c r="E4" s="7">
        <v>4220</v>
      </c>
      <c r="F4" s="7"/>
      <c r="G4" s="7"/>
      <c r="H4" s="7"/>
      <c r="I4" s="7">
        <v>19</v>
      </c>
      <c r="J4" s="7">
        <v>277</v>
      </c>
      <c r="K4" s="7"/>
      <c r="L4" s="7">
        <v>314315</v>
      </c>
    </row>
    <row r="5" spans="1:12" x14ac:dyDescent="0.35">
      <c r="A5" t="s">
        <v>221</v>
      </c>
      <c r="B5" s="7">
        <v>-20506</v>
      </c>
      <c r="C5" s="7">
        <v>-83073</v>
      </c>
      <c r="D5" s="7">
        <v>-75257</v>
      </c>
      <c r="E5" s="7">
        <v>-51394</v>
      </c>
      <c r="F5" s="7"/>
      <c r="G5" s="7"/>
      <c r="H5" s="7"/>
      <c r="I5" s="7">
        <v>-133</v>
      </c>
      <c r="J5" s="7">
        <v>-205</v>
      </c>
      <c r="K5" s="7"/>
      <c r="L5" s="7">
        <v>-230567</v>
      </c>
    </row>
    <row r="6" spans="1:12" x14ac:dyDescent="0.35">
      <c r="A6" t="s">
        <v>222</v>
      </c>
      <c r="B6" s="7"/>
      <c r="C6" s="7"/>
      <c r="D6" s="7">
        <v>-16217</v>
      </c>
      <c r="E6" s="7"/>
      <c r="F6" s="7"/>
      <c r="G6" s="7"/>
      <c r="H6" s="7"/>
      <c r="I6" s="7"/>
      <c r="J6" s="7"/>
      <c r="K6" s="7"/>
      <c r="L6" s="7">
        <v>-16217</v>
      </c>
    </row>
    <row r="7" spans="1:12" x14ac:dyDescent="0.35">
      <c r="A7" t="s">
        <v>223</v>
      </c>
      <c r="B7" s="7"/>
      <c r="C7" s="7"/>
      <c r="D7" s="7">
        <v>-10699</v>
      </c>
      <c r="E7" s="7"/>
      <c r="F7" s="7"/>
      <c r="G7" s="7"/>
      <c r="H7" s="7"/>
      <c r="I7" s="7"/>
      <c r="J7" s="7"/>
      <c r="K7" s="7"/>
      <c r="L7" s="7">
        <v>-10699</v>
      </c>
    </row>
    <row r="8" spans="1:12" x14ac:dyDescent="0.35">
      <c r="A8" t="s">
        <v>224</v>
      </c>
      <c r="B8" s="7">
        <v>-3803</v>
      </c>
      <c r="C8" s="7">
        <v>189</v>
      </c>
      <c r="D8" s="7">
        <v>-970</v>
      </c>
      <c r="E8" s="7">
        <v>-262</v>
      </c>
      <c r="F8" s="7"/>
      <c r="G8" s="7"/>
      <c r="H8" s="7"/>
      <c r="I8" s="7"/>
      <c r="J8" s="7"/>
      <c r="K8" s="7"/>
      <c r="L8" s="7">
        <v>-4846</v>
      </c>
    </row>
    <row r="9" spans="1:12" x14ac:dyDescent="0.35">
      <c r="A9" t="s">
        <v>225</v>
      </c>
      <c r="B9" s="7">
        <v>184285</v>
      </c>
      <c r="C9" s="7">
        <v>274904</v>
      </c>
      <c r="D9" s="7">
        <v>2126</v>
      </c>
      <c r="E9" s="7">
        <v>90758</v>
      </c>
      <c r="F9" s="7">
        <v>11408</v>
      </c>
      <c r="G9" s="7">
        <v>14150</v>
      </c>
      <c r="H9" s="7">
        <v>9193</v>
      </c>
      <c r="I9" s="7">
        <v>279399</v>
      </c>
      <c r="J9" s="7">
        <v>72</v>
      </c>
      <c r="K9" s="7"/>
      <c r="L9" s="7">
        <v>866294</v>
      </c>
    </row>
    <row r="10" spans="1:12" x14ac:dyDescent="0.35">
      <c r="A10" t="s">
        <v>226</v>
      </c>
      <c r="B10" s="7"/>
      <c r="C10" s="7">
        <v>-9271</v>
      </c>
      <c r="D10" s="7">
        <v>9779</v>
      </c>
      <c r="E10" s="7"/>
      <c r="F10" s="7"/>
      <c r="G10" s="7"/>
      <c r="H10" s="7"/>
      <c r="I10" s="7"/>
      <c r="J10" s="7"/>
      <c r="K10" s="7"/>
      <c r="L10" s="7">
        <v>508</v>
      </c>
    </row>
    <row r="11" spans="1:12" x14ac:dyDescent="0.35">
      <c r="A11" t="s">
        <v>227</v>
      </c>
      <c r="B11" s="7">
        <v>-3731</v>
      </c>
      <c r="C11" s="7">
        <v>-5865</v>
      </c>
      <c r="D11" s="7">
        <v>1274</v>
      </c>
      <c r="E11" s="7">
        <v>90</v>
      </c>
      <c r="F11" s="7"/>
      <c r="G11" s="7"/>
      <c r="H11" s="7"/>
      <c r="I11" s="7">
        <v>44</v>
      </c>
      <c r="J11" s="7">
        <v>-98</v>
      </c>
      <c r="K11" s="7">
        <v>-19</v>
      </c>
      <c r="L11" s="7">
        <v>-8304</v>
      </c>
    </row>
    <row r="12" spans="1:12" x14ac:dyDescent="0.35">
      <c r="A12" t="s">
        <v>228</v>
      </c>
      <c r="B12" s="7">
        <v>-98125</v>
      </c>
      <c r="C12" s="7"/>
      <c r="D12" s="7">
        <v>-39544</v>
      </c>
      <c r="E12" s="7">
        <v>-36059</v>
      </c>
      <c r="F12" s="7">
        <v>-11408</v>
      </c>
      <c r="G12" s="7">
        <v>-14150</v>
      </c>
      <c r="H12" s="7">
        <v>-9122</v>
      </c>
      <c r="I12" s="7">
        <v>-408</v>
      </c>
      <c r="J12" s="7">
        <v>77517</v>
      </c>
      <c r="K12" s="7"/>
      <c r="L12" s="7">
        <v>-131298</v>
      </c>
    </row>
    <row r="13" spans="1:12" x14ac:dyDescent="0.35">
      <c r="A13" t="s">
        <v>66</v>
      </c>
      <c r="B13" s="7">
        <v>-3419</v>
      </c>
      <c r="C13" s="7"/>
      <c r="D13" s="7">
        <v>-587</v>
      </c>
      <c r="E13" s="7">
        <v>-67</v>
      </c>
      <c r="F13" s="7"/>
      <c r="G13" s="7"/>
      <c r="H13" s="7"/>
      <c r="I13" s="7"/>
      <c r="J13" s="7">
        <v>1328</v>
      </c>
      <c r="K13" s="7">
        <v>683</v>
      </c>
      <c r="L13" s="7">
        <v>-2061</v>
      </c>
    </row>
    <row r="14" spans="1:12" x14ac:dyDescent="0.35">
      <c r="A14" t="s">
        <v>229</v>
      </c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</row>
    <row r="15" spans="1:12" x14ac:dyDescent="0.35">
      <c r="A15" t="s">
        <v>230</v>
      </c>
      <c r="B15" s="7"/>
      <c r="C15" s="7"/>
      <c r="D15" s="7">
        <v>-95</v>
      </c>
      <c r="E15" s="7">
        <v>86</v>
      </c>
      <c r="F15" s="7"/>
      <c r="G15" s="7"/>
      <c r="H15" s="7"/>
      <c r="I15" s="7"/>
      <c r="J15" s="7"/>
      <c r="K15" s="7"/>
      <c r="L15" s="7">
        <v>-9</v>
      </c>
    </row>
    <row r="16" spans="1:12" x14ac:dyDescent="0.35">
      <c r="A16" t="s">
        <v>70</v>
      </c>
      <c r="B16" s="7"/>
      <c r="C16" s="7">
        <v>-257958</v>
      </c>
      <c r="D16" s="7">
        <v>252019</v>
      </c>
      <c r="E16" s="7"/>
      <c r="F16" s="7"/>
      <c r="G16" s="7"/>
      <c r="H16" s="7"/>
      <c r="I16" s="7"/>
      <c r="J16" s="7"/>
      <c r="K16" s="7"/>
      <c r="L16" s="7">
        <v>-5940</v>
      </c>
    </row>
    <row r="17" spans="1:12" x14ac:dyDescent="0.35">
      <c r="A17" t="s">
        <v>231</v>
      </c>
      <c r="B17" s="7">
        <v>-8757</v>
      </c>
      <c r="C17" s="7"/>
      <c r="D17" s="7"/>
      <c r="E17" s="7"/>
      <c r="F17" s="7"/>
      <c r="G17" s="7"/>
      <c r="H17" s="7"/>
      <c r="I17" s="7"/>
      <c r="J17" s="7"/>
      <c r="K17" s="7"/>
      <c r="L17" s="7">
        <v>-8757</v>
      </c>
    </row>
    <row r="18" spans="1:12" x14ac:dyDescent="0.35">
      <c r="A18" t="s">
        <v>232</v>
      </c>
      <c r="B18" s="7"/>
      <c r="C18" s="7">
        <v>329</v>
      </c>
      <c r="D18" s="7"/>
      <c r="E18" s="7">
        <v>-798</v>
      </c>
      <c r="F18" s="7"/>
      <c r="G18" s="7"/>
      <c r="H18" s="7"/>
      <c r="I18" s="7"/>
      <c r="J18" s="7"/>
      <c r="K18" s="7"/>
      <c r="L18" s="7">
        <v>-469</v>
      </c>
    </row>
    <row r="19" spans="1:12" x14ac:dyDescent="0.35">
      <c r="A19" t="s">
        <v>233</v>
      </c>
      <c r="B19" s="7"/>
      <c r="C19" s="7"/>
      <c r="D19" s="7"/>
      <c r="E19" s="7"/>
      <c r="F19" s="7"/>
      <c r="G19" s="7"/>
      <c r="H19" s="7"/>
      <c r="I19" s="7">
        <v>-14071</v>
      </c>
      <c r="J19" s="7"/>
      <c r="K19" s="7"/>
      <c r="L19" s="7">
        <v>-14071</v>
      </c>
    </row>
    <row r="20" spans="1:12" x14ac:dyDescent="0.35">
      <c r="A20" t="s">
        <v>234</v>
      </c>
      <c r="B20" s="7">
        <v>-2075</v>
      </c>
      <c r="C20" s="7">
        <v>-477</v>
      </c>
      <c r="D20" s="7">
        <v>-13660</v>
      </c>
      <c r="E20" s="7">
        <v>-20315</v>
      </c>
      <c r="F20" s="7"/>
      <c r="G20" s="7"/>
      <c r="H20" s="7"/>
      <c r="I20" s="7"/>
      <c r="J20" s="7">
        <v>-4912</v>
      </c>
      <c r="K20" s="7">
        <v>-41</v>
      </c>
      <c r="L20" s="7">
        <v>-41480</v>
      </c>
    </row>
    <row r="21" spans="1:12" x14ac:dyDescent="0.35">
      <c r="A21" t="s">
        <v>235</v>
      </c>
      <c r="B21" s="7">
        <v>-7</v>
      </c>
      <c r="C21" s="7">
        <v>-96</v>
      </c>
      <c r="D21" s="7">
        <v>-11</v>
      </c>
      <c r="E21" s="7">
        <v>-2027</v>
      </c>
      <c r="F21" s="7"/>
      <c r="G21" s="7"/>
      <c r="H21" s="7"/>
      <c r="I21" s="7"/>
      <c r="J21" s="7">
        <v>-11697</v>
      </c>
      <c r="K21" s="7">
        <v>-28</v>
      </c>
      <c r="L21" s="7">
        <v>-13865</v>
      </c>
    </row>
    <row r="22" spans="1:12" x14ac:dyDescent="0.35">
      <c r="A22" t="s">
        <v>131</v>
      </c>
      <c r="B22" s="7">
        <v>68172</v>
      </c>
      <c r="C22" s="7">
        <v>1566</v>
      </c>
      <c r="D22" s="7">
        <v>211301</v>
      </c>
      <c r="E22" s="7">
        <v>31668</v>
      </c>
      <c r="F22" s="7"/>
      <c r="G22" s="7"/>
      <c r="H22" s="7">
        <v>71</v>
      </c>
      <c r="I22" s="7">
        <v>264963</v>
      </c>
      <c r="J22" s="7">
        <v>62210</v>
      </c>
      <c r="K22" s="7">
        <v>596</v>
      </c>
      <c r="L22" s="7">
        <v>640548</v>
      </c>
    </row>
    <row r="23" spans="1:12" x14ac:dyDescent="0.35">
      <c r="A23" t="s">
        <v>80</v>
      </c>
      <c r="B23" s="7">
        <v>53277</v>
      </c>
      <c r="C23" s="7"/>
      <c r="D23" s="7">
        <v>42144</v>
      </c>
      <c r="E23" s="7">
        <v>11053</v>
      </c>
      <c r="F23" s="7"/>
      <c r="G23" s="7"/>
      <c r="H23" s="7">
        <v>1</v>
      </c>
      <c r="I23" s="7">
        <v>43625</v>
      </c>
      <c r="J23" s="7">
        <v>28476</v>
      </c>
      <c r="K23" s="7">
        <v>234</v>
      </c>
      <c r="L23" s="7">
        <v>178811</v>
      </c>
    </row>
    <row r="24" spans="1:12" x14ac:dyDescent="0.35">
      <c r="A24" t="s">
        <v>82</v>
      </c>
      <c r="B24" s="7">
        <v>147</v>
      </c>
      <c r="C24" s="7"/>
      <c r="D24" s="7">
        <v>97871</v>
      </c>
      <c r="E24" s="7">
        <v>23</v>
      </c>
      <c r="F24" s="7"/>
      <c r="G24" s="7"/>
      <c r="H24" s="7"/>
      <c r="I24" s="7"/>
      <c r="J24" s="7">
        <v>576</v>
      </c>
      <c r="K24" s="7"/>
      <c r="L24" s="7">
        <v>98617</v>
      </c>
    </row>
    <row r="25" spans="1:12" x14ac:dyDescent="0.35">
      <c r="A25" t="s">
        <v>86</v>
      </c>
      <c r="B25" s="7">
        <v>3172</v>
      </c>
      <c r="C25" s="7"/>
      <c r="D25" s="7">
        <v>26701</v>
      </c>
      <c r="E25" s="7">
        <v>3645</v>
      </c>
      <c r="F25" s="7"/>
      <c r="G25" s="7"/>
      <c r="H25" s="7">
        <v>65</v>
      </c>
      <c r="I25" s="7">
        <v>214980</v>
      </c>
      <c r="J25" s="7">
        <v>13658</v>
      </c>
      <c r="K25" s="7">
        <v>236</v>
      </c>
      <c r="L25" s="7">
        <v>262458</v>
      </c>
    </row>
    <row r="26" spans="1:12" x14ac:dyDescent="0.35">
      <c r="A26" t="s">
        <v>88</v>
      </c>
      <c r="B26" s="7">
        <v>3704</v>
      </c>
      <c r="C26" s="7"/>
      <c r="D26" s="7">
        <v>3372</v>
      </c>
      <c r="E26" s="7">
        <v>604</v>
      </c>
      <c r="F26" s="7"/>
      <c r="G26" s="7"/>
      <c r="H26" s="7">
        <v>3</v>
      </c>
      <c r="I26" s="7">
        <v>5596</v>
      </c>
      <c r="J26" s="7">
        <v>8210</v>
      </c>
      <c r="K26" s="7">
        <v>111</v>
      </c>
      <c r="L26" s="7">
        <v>21600</v>
      </c>
    </row>
    <row r="27" spans="1:12" x14ac:dyDescent="0.35">
      <c r="A27" t="s">
        <v>90</v>
      </c>
      <c r="B27" s="7">
        <v>85</v>
      </c>
      <c r="C27" s="7"/>
      <c r="D27" s="7">
        <v>11215</v>
      </c>
      <c r="E27" s="7">
        <v>105</v>
      </c>
      <c r="F27" s="7"/>
      <c r="G27" s="7"/>
      <c r="H27" s="7"/>
      <c r="I27" s="7">
        <v>4</v>
      </c>
      <c r="J27" s="7">
        <v>8116</v>
      </c>
      <c r="K27" s="7">
        <v>15</v>
      </c>
      <c r="L27" s="7">
        <v>19541</v>
      </c>
    </row>
    <row r="28" spans="1:12" x14ac:dyDescent="0.35">
      <c r="A28" t="s">
        <v>92</v>
      </c>
      <c r="B28" s="7"/>
      <c r="C28" s="7"/>
      <c r="D28" s="7">
        <v>1587</v>
      </c>
      <c r="E28" s="7"/>
      <c r="F28" s="7"/>
      <c r="G28" s="7"/>
      <c r="H28" s="7"/>
      <c r="I28" s="7"/>
      <c r="J28" s="7">
        <v>141</v>
      </c>
      <c r="K28" s="7"/>
      <c r="L28" s="7">
        <v>1728</v>
      </c>
    </row>
    <row r="29" spans="1:12" x14ac:dyDescent="0.35">
      <c r="A29" t="s">
        <v>94</v>
      </c>
      <c r="B29" s="7">
        <v>7589</v>
      </c>
      <c r="C29" s="7"/>
      <c r="D29" s="7">
        <v>1753</v>
      </c>
      <c r="E29" s="7">
        <v>187</v>
      </c>
      <c r="F29" s="7"/>
      <c r="G29" s="7"/>
      <c r="H29" s="7">
        <v>1</v>
      </c>
      <c r="I29" s="7">
        <v>758</v>
      </c>
      <c r="J29" s="7">
        <v>3032</v>
      </c>
      <c r="K29" s="7"/>
      <c r="L29" s="7">
        <v>13320</v>
      </c>
    </row>
    <row r="30" spans="1:12" x14ac:dyDescent="0.35">
      <c r="A30" t="s">
        <v>236</v>
      </c>
      <c r="B30" s="7">
        <v>197</v>
      </c>
      <c r="C30" s="7">
        <v>1566</v>
      </c>
      <c r="D30" s="7">
        <v>26659</v>
      </c>
      <c r="E30" s="7">
        <v>16051</v>
      </c>
      <c r="F30" s="7"/>
      <c r="G30" s="7"/>
      <c r="H30" s="7"/>
      <c r="I30" s="7"/>
      <c r="J30" s="7"/>
      <c r="K30" s="7"/>
      <c r="L30" s="7">
        <v>44472</v>
      </c>
    </row>
    <row r="32" spans="1:12" x14ac:dyDescent="0.35">
      <c r="B32" s="7">
        <f>SUM(B9,B10:B21,B22*-1)</f>
        <v>-1</v>
      </c>
      <c r="C32" s="7">
        <f t="shared" ref="C32:L32" si="0">SUM(C9,C10:C21,C22*-1)</f>
        <v>0</v>
      </c>
      <c r="D32" s="7">
        <f t="shared" si="0"/>
        <v>0</v>
      </c>
      <c r="E32" s="7">
        <f t="shared" si="0"/>
        <v>0</v>
      </c>
      <c r="F32" s="7">
        <f t="shared" si="0"/>
        <v>0</v>
      </c>
      <c r="G32" s="7">
        <f t="shared" si="0"/>
        <v>0</v>
      </c>
      <c r="H32" s="7">
        <f t="shared" si="0"/>
        <v>0</v>
      </c>
      <c r="I32" s="7">
        <f t="shared" si="0"/>
        <v>1</v>
      </c>
      <c r="J32" s="7">
        <f t="shared" si="0"/>
        <v>0</v>
      </c>
      <c r="K32" s="7">
        <f t="shared" si="0"/>
        <v>-1</v>
      </c>
      <c r="L32" s="7">
        <f t="shared" si="0"/>
        <v>0</v>
      </c>
    </row>
  </sheetData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Ark28"/>
  <dimension ref="A1:L32"/>
  <sheetViews>
    <sheetView workbookViewId="0">
      <selection activeCell="A3" sqref="A3:L30"/>
    </sheetView>
  </sheetViews>
  <sheetFormatPr defaultRowHeight="14.5" x14ac:dyDescent="0.35"/>
  <cols>
    <col min="1" max="1" width="30" customWidth="1"/>
    <col min="2" max="2" width="11.54296875" customWidth="1"/>
    <col min="3" max="3" width="12" customWidth="1"/>
    <col min="4" max="4" width="14.54296875" customWidth="1"/>
    <col min="5" max="5" width="14.1796875" customWidth="1"/>
    <col min="8" max="8" width="22.81640625" customWidth="1"/>
    <col min="9" max="9" width="21.81640625" customWidth="1"/>
    <col min="10" max="10" width="13.81640625" customWidth="1"/>
    <col min="11" max="11" width="12.26953125" customWidth="1"/>
    <col min="12" max="12" width="11.81640625" customWidth="1"/>
  </cols>
  <sheetData>
    <row r="1" spans="1:12" x14ac:dyDescent="0.35">
      <c r="B1" t="s">
        <v>214</v>
      </c>
      <c r="C1" t="s">
        <v>2</v>
      </c>
      <c r="D1" t="s">
        <v>215</v>
      </c>
      <c r="E1" t="s">
        <v>216</v>
      </c>
      <c r="F1" t="s">
        <v>5</v>
      </c>
      <c r="G1" t="s">
        <v>6</v>
      </c>
      <c r="H1" t="s">
        <v>217</v>
      </c>
      <c r="I1" t="s">
        <v>8</v>
      </c>
      <c r="J1" t="s">
        <v>9</v>
      </c>
      <c r="K1" t="s">
        <v>10</v>
      </c>
      <c r="L1" t="s">
        <v>218</v>
      </c>
    </row>
    <row r="2" spans="1:12" x14ac:dyDescent="0.35">
      <c r="B2" t="s">
        <v>219</v>
      </c>
      <c r="C2" t="s">
        <v>219</v>
      </c>
      <c r="D2" t="s">
        <v>219</v>
      </c>
      <c r="E2" t="s">
        <v>219</v>
      </c>
      <c r="F2" t="s">
        <v>219</v>
      </c>
      <c r="G2" t="s">
        <v>219</v>
      </c>
      <c r="H2" t="s">
        <v>219</v>
      </c>
      <c r="I2" t="s">
        <v>219</v>
      </c>
      <c r="J2" t="s">
        <v>219</v>
      </c>
      <c r="K2" t="s">
        <v>219</v>
      </c>
      <c r="L2" t="s">
        <v>219</v>
      </c>
    </row>
    <row r="3" spans="1:12" x14ac:dyDescent="0.35">
      <c r="A3" t="s">
        <v>17</v>
      </c>
      <c r="B3" s="7">
        <v>209107</v>
      </c>
      <c r="C3" s="7">
        <v>183252</v>
      </c>
      <c r="D3" s="7"/>
      <c r="E3" s="7">
        <v>183047</v>
      </c>
      <c r="F3" s="7">
        <v>14957</v>
      </c>
      <c r="G3" s="7">
        <v>14361</v>
      </c>
      <c r="H3" s="7">
        <v>18625</v>
      </c>
      <c r="I3" s="7">
        <v>298274</v>
      </c>
      <c r="J3" s="7"/>
      <c r="K3" s="7"/>
      <c r="L3" s="7">
        <v>921622</v>
      </c>
    </row>
    <row r="4" spans="1:12" x14ac:dyDescent="0.35">
      <c r="A4" t="s">
        <v>220</v>
      </c>
      <c r="B4" s="7">
        <v>54828</v>
      </c>
      <c r="C4" s="7">
        <v>236853</v>
      </c>
      <c r="D4" s="7">
        <v>109934</v>
      </c>
      <c r="E4" s="7">
        <v>8018</v>
      </c>
      <c r="F4" s="7"/>
      <c r="G4" s="7"/>
      <c r="H4" s="7"/>
      <c r="I4" s="7">
        <v>51</v>
      </c>
      <c r="J4" s="7">
        <v>460</v>
      </c>
      <c r="K4" s="7"/>
      <c r="L4" s="7">
        <v>410144</v>
      </c>
    </row>
    <row r="5" spans="1:12" x14ac:dyDescent="0.35">
      <c r="A5" t="s">
        <v>221</v>
      </c>
      <c r="B5" s="7">
        <v>-36261</v>
      </c>
      <c r="C5" s="7">
        <v>-77148</v>
      </c>
      <c r="D5" s="7">
        <v>-77782</v>
      </c>
      <c r="E5" s="7">
        <v>-64038</v>
      </c>
      <c r="F5" s="7"/>
      <c r="G5" s="7"/>
      <c r="H5" s="7"/>
      <c r="I5" s="7">
        <v>-86</v>
      </c>
      <c r="J5" s="7">
        <v>-407</v>
      </c>
      <c r="K5" s="7"/>
      <c r="L5" s="7">
        <v>-255722</v>
      </c>
    </row>
    <row r="6" spans="1:12" x14ac:dyDescent="0.35">
      <c r="A6" t="s">
        <v>222</v>
      </c>
      <c r="B6" s="7"/>
      <c r="C6" s="7"/>
      <c r="D6" s="7">
        <v>-24199</v>
      </c>
      <c r="E6" s="7"/>
      <c r="F6" s="7"/>
      <c r="G6" s="7"/>
      <c r="H6" s="7"/>
      <c r="I6" s="7"/>
      <c r="J6" s="7"/>
      <c r="K6" s="7"/>
      <c r="L6" s="7">
        <v>-24199</v>
      </c>
    </row>
    <row r="7" spans="1:12" x14ac:dyDescent="0.35">
      <c r="A7" t="s">
        <v>223</v>
      </c>
      <c r="B7" s="7"/>
      <c r="C7" s="7"/>
      <c r="D7" s="7">
        <v>-13535</v>
      </c>
      <c r="E7" s="7"/>
      <c r="F7" s="7"/>
      <c r="G7" s="7"/>
      <c r="H7" s="7"/>
      <c r="I7" s="7"/>
      <c r="J7" s="7"/>
      <c r="K7" s="7"/>
      <c r="L7" s="7">
        <v>-13535</v>
      </c>
    </row>
    <row r="8" spans="1:12" x14ac:dyDescent="0.35">
      <c r="A8" t="s">
        <v>224</v>
      </c>
      <c r="B8" s="7">
        <v>1733</v>
      </c>
      <c r="C8" s="7">
        <v>-1055</v>
      </c>
      <c r="D8" s="7">
        <v>-1366</v>
      </c>
      <c r="E8" s="7">
        <v>-199</v>
      </c>
      <c r="F8" s="7"/>
      <c r="G8" s="7"/>
      <c r="H8" s="7"/>
      <c r="I8" s="7"/>
      <c r="J8" s="7"/>
      <c r="K8" s="7"/>
      <c r="L8" s="7">
        <v>-888</v>
      </c>
    </row>
    <row r="9" spans="1:12" x14ac:dyDescent="0.35">
      <c r="A9" t="s">
        <v>225</v>
      </c>
      <c r="B9" s="7">
        <v>229406</v>
      </c>
      <c r="C9" s="7">
        <v>341902</v>
      </c>
      <c r="D9" s="7">
        <v>-6948</v>
      </c>
      <c r="E9" s="7">
        <v>126827</v>
      </c>
      <c r="F9" s="7">
        <v>14957</v>
      </c>
      <c r="G9" s="7">
        <v>14361</v>
      </c>
      <c r="H9" s="7">
        <v>18625</v>
      </c>
      <c r="I9" s="7">
        <v>298240</v>
      </c>
      <c r="J9" s="7">
        <v>53</v>
      </c>
      <c r="K9" s="7"/>
      <c r="L9" s="7">
        <v>1037422</v>
      </c>
    </row>
    <row r="10" spans="1:12" x14ac:dyDescent="0.35">
      <c r="A10" t="s">
        <v>226</v>
      </c>
      <c r="B10" s="7"/>
      <c r="C10" s="7">
        <v>-9667</v>
      </c>
      <c r="D10" s="7">
        <v>9982</v>
      </c>
      <c r="E10" s="7"/>
      <c r="F10" s="7"/>
      <c r="G10" s="7"/>
      <c r="H10" s="7"/>
      <c r="I10" s="7"/>
      <c r="J10" s="7"/>
      <c r="K10" s="7"/>
      <c r="L10" s="7">
        <v>315</v>
      </c>
    </row>
    <row r="11" spans="1:12" x14ac:dyDescent="0.35">
      <c r="A11" t="s">
        <v>227</v>
      </c>
      <c r="B11" s="7">
        <v>-4001</v>
      </c>
      <c r="C11" s="7">
        <v>-1728</v>
      </c>
      <c r="D11" s="7">
        <v>-892</v>
      </c>
      <c r="E11" s="7">
        <v>695</v>
      </c>
      <c r="F11" s="7"/>
      <c r="G11" s="7"/>
      <c r="H11" s="7"/>
      <c r="I11" s="7">
        <v>-17</v>
      </c>
      <c r="J11" s="7">
        <v>229</v>
      </c>
      <c r="K11" s="7">
        <v>-77</v>
      </c>
      <c r="L11" s="7">
        <v>-5792</v>
      </c>
    </row>
    <row r="12" spans="1:12" x14ac:dyDescent="0.35">
      <c r="A12" t="s">
        <v>228</v>
      </c>
      <c r="B12" s="7">
        <v>-139688</v>
      </c>
      <c r="C12" s="7"/>
      <c r="D12" s="7">
        <v>-42037</v>
      </c>
      <c r="E12" s="7">
        <v>-55426</v>
      </c>
      <c r="F12" s="7">
        <v>-14957</v>
      </c>
      <c r="G12" s="7">
        <v>-14361</v>
      </c>
      <c r="H12" s="7">
        <v>-18518</v>
      </c>
      <c r="I12" s="7">
        <v>-1978</v>
      </c>
      <c r="J12" s="7">
        <v>103894</v>
      </c>
      <c r="K12" s="7"/>
      <c r="L12" s="7">
        <v>-183072</v>
      </c>
    </row>
    <row r="13" spans="1:12" x14ac:dyDescent="0.35">
      <c r="A13" t="s">
        <v>66</v>
      </c>
      <c r="B13" s="7">
        <v>-6207</v>
      </c>
      <c r="C13" s="7"/>
      <c r="D13" s="7">
        <v>-1015</v>
      </c>
      <c r="E13" s="7">
        <v>-219</v>
      </c>
      <c r="F13" s="7"/>
      <c r="G13" s="7"/>
      <c r="H13" s="7"/>
      <c r="I13" s="7"/>
      <c r="J13" s="7">
        <v>2747</v>
      </c>
      <c r="K13" s="7">
        <v>689</v>
      </c>
      <c r="L13" s="7">
        <v>-4005</v>
      </c>
    </row>
    <row r="14" spans="1:12" x14ac:dyDescent="0.35">
      <c r="A14" t="s">
        <v>229</v>
      </c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</row>
    <row r="15" spans="1:12" x14ac:dyDescent="0.35">
      <c r="A15" t="s">
        <v>230</v>
      </c>
      <c r="B15" s="7">
        <v>-20</v>
      </c>
      <c r="C15" s="7"/>
      <c r="D15" s="7">
        <v>-120</v>
      </c>
      <c r="E15" s="7">
        <v>105</v>
      </c>
      <c r="F15" s="7"/>
      <c r="G15" s="7"/>
      <c r="H15" s="7"/>
      <c r="I15" s="7"/>
      <c r="J15" s="7"/>
      <c r="K15" s="7"/>
      <c r="L15" s="7">
        <v>-35</v>
      </c>
    </row>
    <row r="16" spans="1:12" x14ac:dyDescent="0.35">
      <c r="A16" t="s">
        <v>70</v>
      </c>
      <c r="B16" s="7"/>
      <c r="C16" s="7">
        <v>-327489</v>
      </c>
      <c r="D16" s="7">
        <v>323433</v>
      </c>
      <c r="E16" s="7"/>
      <c r="F16" s="7"/>
      <c r="G16" s="7"/>
      <c r="H16" s="7"/>
      <c r="I16" s="7"/>
      <c r="J16" s="7"/>
      <c r="K16" s="7"/>
      <c r="L16" s="7">
        <v>-4056</v>
      </c>
    </row>
    <row r="17" spans="1:12" x14ac:dyDescent="0.35">
      <c r="A17" t="s">
        <v>231</v>
      </c>
      <c r="B17" s="7">
        <v>-9684</v>
      </c>
      <c r="C17" s="7"/>
      <c r="D17" s="7"/>
      <c r="E17" s="7"/>
      <c r="F17" s="7"/>
      <c r="G17" s="7"/>
      <c r="H17" s="7"/>
      <c r="I17" s="7"/>
      <c r="J17" s="7"/>
      <c r="K17" s="7"/>
      <c r="L17" s="7">
        <v>-9684</v>
      </c>
    </row>
    <row r="18" spans="1:12" x14ac:dyDescent="0.35">
      <c r="A18" t="s">
        <v>232</v>
      </c>
      <c r="B18" s="7"/>
      <c r="C18" s="7">
        <v>163</v>
      </c>
      <c r="D18" s="7"/>
      <c r="E18" s="7">
        <v>-451</v>
      </c>
      <c r="F18" s="7"/>
      <c r="G18" s="7"/>
      <c r="H18" s="7"/>
      <c r="I18" s="7"/>
      <c r="J18" s="7"/>
      <c r="K18" s="7"/>
      <c r="L18" s="7">
        <v>-288</v>
      </c>
    </row>
    <row r="19" spans="1:12" x14ac:dyDescent="0.35">
      <c r="A19" t="s">
        <v>233</v>
      </c>
      <c r="B19" s="7"/>
      <c r="C19" s="7"/>
      <c r="D19" s="7">
        <v>-2</v>
      </c>
      <c r="E19" s="7"/>
      <c r="F19" s="7"/>
      <c r="G19" s="7"/>
      <c r="H19" s="7"/>
      <c r="I19" s="7">
        <v>-13348</v>
      </c>
      <c r="J19" s="7"/>
      <c r="K19" s="7"/>
      <c r="L19" s="7">
        <v>-13351</v>
      </c>
    </row>
    <row r="20" spans="1:12" x14ac:dyDescent="0.35">
      <c r="A20" t="s">
        <v>234</v>
      </c>
      <c r="B20" s="7">
        <v>-1849</v>
      </c>
      <c r="C20" s="7">
        <v>-778</v>
      </c>
      <c r="D20" s="7">
        <v>-17129</v>
      </c>
      <c r="E20" s="7">
        <v>-23646</v>
      </c>
      <c r="F20" s="7"/>
      <c r="G20" s="7"/>
      <c r="H20" s="7"/>
      <c r="I20" s="7"/>
      <c r="J20" s="7">
        <v>-6460</v>
      </c>
      <c r="K20" s="7">
        <v>-58</v>
      </c>
      <c r="L20" s="7">
        <v>-49920</v>
      </c>
    </row>
    <row r="21" spans="1:12" x14ac:dyDescent="0.35">
      <c r="A21" t="s">
        <v>235</v>
      </c>
      <c r="B21" s="7">
        <v>-7</v>
      </c>
      <c r="C21" s="7">
        <v>-137</v>
      </c>
      <c r="D21" s="7">
        <v>-50</v>
      </c>
      <c r="E21" s="7">
        <v>-3802</v>
      </c>
      <c r="F21" s="7"/>
      <c r="G21" s="7"/>
      <c r="H21" s="7"/>
      <c r="I21" s="7"/>
      <c r="J21" s="7">
        <v>-19401</v>
      </c>
      <c r="K21" s="7">
        <v>-23</v>
      </c>
      <c r="L21" s="7">
        <v>-23422</v>
      </c>
    </row>
    <row r="22" spans="1:12" x14ac:dyDescent="0.35">
      <c r="A22" t="s">
        <v>131</v>
      </c>
      <c r="B22" s="7">
        <v>67951</v>
      </c>
      <c r="C22" s="7">
        <v>2265</v>
      </c>
      <c r="D22" s="7">
        <v>265221</v>
      </c>
      <c r="E22" s="7">
        <v>44083</v>
      </c>
      <c r="F22" s="7"/>
      <c r="G22" s="7"/>
      <c r="H22" s="7">
        <v>106</v>
      </c>
      <c r="I22" s="7">
        <v>282896</v>
      </c>
      <c r="J22" s="7">
        <v>81061</v>
      </c>
      <c r="K22" s="7">
        <v>530</v>
      </c>
      <c r="L22" s="7">
        <v>744113</v>
      </c>
    </row>
    <row r="23" spans="1:12" x14ac:dyDescent="0.35">
      <c r="A23" t="s">
        <v>80</v>
      </c>
      <c r="B23" s="7">
        <v>55842</v>
      </c>
      <c r="C23" s="7"/>
      <c r="D23" s="7">
        <v>50317</v>
      </c>
      <c r="E23" s="7">
        <v>18224</v>
      </c>
      <c r="F23" s="7"/>
      <c r="G23" s="7"/>
      <c r="H23" s="7">
        <v>2</v>
      </c>
      <c r="I23" s="7">
        <v>48251</v>
      </c>
      <c r="J23" s="7">
        <v>36333</v>
      </c>
      <c r="K23" s="7">
        <v>196</v>
      </c>
      <c r="L23" s="7">
        <v>209165</v>
      </c>
    </row>
    <row r="24" spans="1:12" x14ac:dyDescent="0.35">
      <c r="A24" t="s">
        <v>82</v>
      </c>
      <c r="B24" s="7">
        <v>25</v>
      </c>
      <c r="C24" s="7"/>
      <c r="D24" s="7">
        <v>117613</v>
      </c>
      <c r="E24" s="7">
        <v>204</v>
      </c>
      <c r="F24" s="7"/>
      <c r="G24" s="7"/>
      <c r="H24" s="7"/>
      <c r="I24" s="7">
        <v>70</v>
      </c>
      <c r="J24" s="7">
        <v>784</v>
      </c>
      <c r="K24" s="7"/>
      <c r="L24" s="7">
        <v>118697</v>
      </c>
    </row>
    <row r="25" spans="1:12" x14ac:dyDescent="0.35">
      <c r="A25" t="s">
        <v>86</v>
      </c>
      <c r="B25" s="7">
        <v>3193</v>
      </c>
      <c r="C25" s="7"/>
      <c r="D25" s="7">
        <v>34620</v>
      </c>
      <c r="E25" s="7">
        <v>4786</v>
      </c>
      <c r="F25" s="7"/>
      <c r="G25" s="7"/>
      <c r="H25" s="7">
        <v>97</v>
      </c>
      <c r="I25" s="7">
        <v>227568</v>
      </c>
      <c r="J25" s="7">
        <v>20166</v>
      </c>
      <c r="K25" s="7">
        <v>266</v>
      </c>
      <c r="L25" s="7">
        <v>290696</v>
      </c>
    </row>
    <row r="26" spans="1:12" x14ac:dyDescent="0.35">
      <c r="A26" t="s">
        <v>88</v>
      </c>
      <c r="B26" s="7">
        <v>2910</v>
      </c>
      <c r="C26" s="7"/>
      <c r="D26" s="7">
        <v>5231</v>
      </c>
      <c r="E26" s="7">
        <v>762</v>
      </c>
      <c r="F26" s="7"/>
      <c r="G26" s="7"/>
      <c r="H26" s="7">
        <v>5</v>
      </c>
      <c r="I26" s="7">
        <v>6267</v>
      </c>
      <c r="J26" s="7">
        <v>11866</v>
      </c>
      <c r="K26" s="7">
        <v>66</v>
      </c>
      <c r="L26" s="7">
        <v>27106</v>
      </c>
    </row>
    <row r="27" spans="1:12" x14ac:dyDescent="0.35">
      <c r="A27" t="s">
        <v>90</v>
      </c>
      <c r="B27" s="7">
        <v>25</v>
      </c>
      <c r="C27" s="7"/>
      <c r="D27" s="7">
        <v>14836</v>
      </c>
      <c r="E27" s="7">
        <v>139</v>
      </c>
      <c r="F27" s="7"/>
      <c r="G27" s="7"/>
      <c r="H27" s="7"/>
      <c r="I27" s="7">
        <v>7</v>
      </c>
      <c r="J27" s="7">
        <v>8139</v>
      </c>
      <c r="K27" s="7">
        <v>3</v>
      </c>
      <c r="L27" s="7">
        <v>23150</v>
      </c>
    </row>
    <row r="28" spans="1:12" x14ac:dyDescent="0.35">
      <c r="A28" t="s">
        <v>92</v>
      </c>
      <c r="B28" s="7"/>
      <c r="C28" s="7"/>
      <c r="D28" s="7">
        <v>1122</v>
      </c>
      <c r="E28" s="7"/>
      <c r="F28" s="7"/>
      <c r="G28" s="7"/>
      <c r="H28" s="7"/>
      <c r="I28" s="7"/>
      <c r="J28" s="7">
        <v>89</v>
      </c>
      <c r="K28" s="7"/>
      <c r="L28" s="7">
        <v>1211</v>
      </c>
    </row>
    <row r="29" spans="1:12" x14ac:dyDescent="0.35">
      <c r="A29" t="s">
        <v>94</v>
      </c>
      <c r="B29" s="7">
        <v>5779</v>
      </c>
      <c r="C29" s="7"/>
      <c r="D29" s="7">
        <v>2833</v>
      </c>
      <c r="E29" s="7">
        <v>69</v>
      </c>
      <c r="F29" s="7"/>
      <c r="G29" s="7"/>
      <c r="H29" s="7">
        <v>2</v>
      </c>
      <c r="I29" s="7">
        <v>732</v>
      </c>
      <c r="J29" s="7">
        <v>3683</v>
      </c>
      <c r="K29" s="7"/>
      <c r="L29" s="7">
        <v>13097</v>
      </c>
    </row>
    <row r="30" spans="1:12" x14ac:dyDescent="0.35">
      <c r="A30" t="s">
        <v>236</v>
      </c>
      <c r="B30" s="7">
        <v>177</v>
      </c>
      <c r="C30" s="7">
        <v>2265</v>
      </c>
      <c r="D30" s="7">
        <v>38650</v>
      </c>
      <c r="E30" s="7">
        <v>19899</v>
      </c>
      <c r="F30" s="7"/>
      <c r="G30" s="7"/>
      <c r="H30" s="7"/>
      <c r="I30" s="7"/>
      <c r="J30" s="7"/>
      <c r="K30" s="7"/>
      <c r="L30" s="7">
        <v>60991</v>
      </c>
    </row>
    <row r="32" spans="1:12" x14ac:dyDescent="0.35">
      <c r="B32" s="7">
        <f>SUM(B9,B10:B21,B22*-1)</f>
        <v>-1</v>
      </c>
      <c r="C32" s="7">
        <f t="shared" ref="C32:L32" si="0">SUM(C9,C10:C21,C22*-1)</f>
        <v>1</v>
      </c>
      <c r="D32" s="7">
        <f t="shared" si="0"/>
        <v>1</v>
      </c>
      <c r="E32" s="7">
        <f t="shared" si="0"/>
        <v>0</v>
      </c>
      <c r="F32" s="7">
        <f t="shared" si="0"/>
        <v>0</v>
      </c>
      <c r="G32" s="7">
        <f t="shared" si="0"/>
        <v>0</v>
      </c>
      <c r="H32" s="7">
        <f t="shared" si="0"/>
        <v>1</v>
      </c>
      <c r="I32" s="7">
        <f t="shared" si="0"/>
        <v>1</v>
      </c>
      <c r="J32" s="7">
        <f t="shared" si="0"/>
        <v>1</v>
      </c>
      <c r="K32" s="7">
        <f t="shared" si="0"/>
        <v>1</v>
      </c>
      <c r="L32" s="7">
        <f t="shared" si="0"/>
        <v>-1</v>
      </c>
    </row>
  </sheetData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Ark29"/>
  <dimension ref="A1:L32"/>
  <sheetViews>
    <sheetView workbookViewId="0">
      <selection activeCell="A3" sqref="A3:L30"/>
    </sheetView>
  </sheetViews>
  <sheetFormatPr defaultRowHeight="14.5" x14ac:dyDescent="0.35"/>
  <cols>
    <col min="1" max="1" width="30" customWidth="1"/>
    <col min="2" max="2" width="11.54296875" customWidth="1"/>
    <col min="3" max="3" width="12" customWidth="1"/>
    <col min="4" max="4" width="14.54296875" customWidth="1"/>
    <col min="5" max="5" width="14.1796875" customWidth="1"/>
    <col min="8" max="8" width="22.81640625" customWidth="1"/>
    <col min="9" max="9" width="21.81640625" customWidth="1"/>
    <col min="10" max="10" width="13.81640625" customWidth="1"/>
    <col min="11" max="11" width="12.26953125" customWidth="1"/>
    <col min="12" max="12" width="11.81640625" customWidth="1"/>
  </cols>
  <sheetData>
    <row r="1" spans="1:12" x14ac:dyDescent="0.35">
      <c r="B1" t="s">
        <v>214</v>
      </c>
      <c r="C1" t="s">
        <v>2</v>
      </c>
      <c r="D1" t="s">
        <v>215</v>
      </c>
      <c r="E1" t="s">
        <v>216</v>
      </c>
      <c r="F1" t="s">
        <v>5</v>
      </c>
      <c r="G1" t="s">
        <v>6</v>
      </c>
      <c r="H1" t="s">
        <v>217</v>
      </c>
      <c r="I1" t="s">
        <v>8</v>
      </c>
      <c r="J1" t="s">
        <v>9</v>
      </c>
      <c r="K1" t="s">
        <v>10</v>
      </c>
      <c r="L1" t="s">
        <v>218</v>
      </c>
    </row>
    <row r="2" spans="1:12" x14ac:dyDescent="0.35">
      <c r="B2" t="s">
        <v>219</v>
      </c>
      <c r="C2" t="s">
        <v>219</v>
      </c>
      <c r="D2" t="s">
        <v>219</v>
      </c>
      <c r="E2" t="s">
        <v>219</v>
      </c>
      <c r="F2" t="s">
        <v>219</v>
      </c>
      <c r="G2" t="s">
        <v>219</v>
      </c>
      <c r="H2" t="s">
        <v>219</v>
      </c>
      <c r="I2" t="s">
        <v>219</v>
      </c>
      <c r="J2" t="s">
        <v>219</v>
      </c>
      <c r="K2" t="s">
        <v>219</v>
      </c>
      <c r="L2" t="s">
        <v>219</v>
      </c>
    </row>
    <row r="3" spans="1:12" x14ac:dyDescent="0.35">
      <c r="A3" t="s">
        <v>17</v>
      </c>
      <c r="B3" s="7">
        <v>314582</v>
      </c>
      <c r="C3" s="7">
        <v>185310</v>
      </c>
      <c r="D3" s="7"/>
      <c r="E3" s="7">
        <v>231501</v>
      </c>
      <c r="F3" s="7">
        <v>15576</v>
      </c>
      <c r="G3" s="7">
        <v>19048</v>
      </c>
      <c r="H3" s="7">
        <v>20606</v>
      </c>
      <c r="I3" s="7">
        <v>317787</v>
      </c>
      <c r="J3" s="7"/>
      <c r="K3" s="7"/>
      <c r="L3" s="7">
        <v>1104409</v>
      </c>
    </row>
    <row r="4" spans="1:12" x14ac:dyDescent="0.35">
      <c r="A4" t="s">
        <v>220</v>
      </c>
      <c r="B4" s="7">
        <v>80018</v>
      </c>
      <c r="C4" s="7">
        <v>308248</v>
      </c>
      <c r="D4" s="7">
        <v>140205</v>
      </c>
      <c r="E4" s="7">
        <v>27244</v>
      </c>
      <c r="F4" s="7"/>
      <c r="G4" s="7"/>
      <c r="H4" s="7"/>
      <c r="I4" s="7">
        <v>38</v>
      </c>
      <c r="J4" s="7">
        <v>690</v>
      </c>
      <c r="K4" s="7"/>
      <c r="L4" s="7">
        <v>556443</v>
      </c>
    </row>
    <row r="5" spans="1:12" x14ac:dyDescent="0.35">
      <c r="A5" t="s">
        <v>221</v>
      </c>
      <c r="B5" s="7">
        <v>-90504</v>
      </c>
      <c r="C5" s="7">
        <v>-81523</v>
      </c>
      <c r="D5" s="7">
        <v>-127593</v>
      </c>
      <c r="E5" s="7">
        <v>-78617</v>
      </c>
      <c r="F5" s="7"/>
      <c r="G5" s="7"/>
      <c r="H5" s="7"/>
      <c r="I5" s="7">
        <v>-159</v>
      </c>
      <c r="J5" s="7">
        <v>-657</v>
      </c>
      <c r="K5" s="7"/>
      <c r="L5" s="7">
        <v>-379053</v>
      </c>
    </row>
    <row r="6" spans="1:12" x14ac:dyDescent="0.35">
      <c r="A6" t="s">
        <v>222</v>
      </c>
      <c r="B6" s="7"/>
      <c r="C6" s="7"/>
      <c r="D6" s="7">
        <v>-30795</v>
      </c>
      <c r="E6" s="7"/>
      <c r="F6" s="7"/>
      <c r="G6" s="7"/>
      <c r="H6" s="7"/>
      <c r="I6" s="7"/>
      <c r="J6" s="7"/>
      <c r="K6" s="7"/>
      <c r="L6" s="7">
        <v>-30795</v>
      </c>
    </row>
    <row r="7" spans="1:12" x14ac:dyDescent="0.35">
      <c r="A7" t="s">
        <v>223</v>
      </c>
      <c r="B7" s="7"/>
      <c r="C7" s="7"/>
      <c r="D7" s="7">
        <v>-17255</v>
      </c>
      <c r="E7" s="7"/>
      <c r="F7" s="7"/>
      <c r="G7" s="7"/>
      <c r="H7" s="7"/>
      <c r="I7" s="7"/>
      <c r="J7" s="7"/>
      <c r="K7" s="7"/>
      <c r="L7" s="7">
        <v>-17255</v>
      </c>
    </row>
    <row r="8" spans="1:12" x14ac:dyDescent="0.35">
      <c r="A8" t="s">
        <v>224</v>
      </c>
      <c r="B8" s="7">
        <v>-5782</v>
      </c>
      <c r="C8" s="7">
        <v>702</v>
      </c>
      <c r="D8" s="7">
        <v>378</v>
      </c>
      <c r="E8" s="7">
        <v>18</v>
      </c>
      <c r="F8" s="7"/>
      <c r="G8" s="7"/>
      <c r="H8" s="7"/>
      <c r="I8" s="7">
        <v>-4</v>
      </c>
      <c r="J8" s="7"/>
      <c r="K8" s="7"/>
      <c r="L8" s="7">
        <v>-4688</v>
      </c>
    </row>
    <row r="9" spans="1:12" x14ac:dyDescent="0.35">
      <c r="A9" t="s">
        <v>225</v>
      </c>
      <c r="B9" s="7">
        <v>298314</v>
      </c>
      <c r="C9" s="7">
        <v>412737</v>
      </c>
      <c r="D9" s="7">
        <v>-35061</v>
      </c>
      <c r="E9" s="7">
        <v>180147</v>
      </c>
      <c r="F9" s="7">
        <v>15576</v>
      </c>
      <c r="G9" s="7">
        <v>19048</v>
      </c>
      <c r="H9" s="7">
        <v>20606</v>
      </c>
      <c r="I9" s="7">
        <v>317661</v>
      </c>
      <c r="J9" s="7">
        <v>33</v>
      </c>
      <c r="K9" s="7"/>
      <c r="L9" s="7">
        <v>1229060</v>
      </c>
    </row>
    <row r="10" spans="1:12" x14ac:dyDescent="0.35">
      <c r="A10" t="s">
        <v>226</v>
      </c>
      <c r="B10" s="7"/>
      <c r="C10" s="7">
        <v>-9804</v>
      </c>
      <c r="D10" s="7">
        <v>9413</v>
      </c>
      <c r="E10" s="7"/>
      <c r="F10" s="7"/>
      <c r="G10" s="7"/>
      <c r="H10" s="7"/>
      <c r="I10" s="7"/>
      <c r="J10" s="7"/>
      <c r="K10" s="7"/>
      <c r="L10" s="7">
        <v>-391</v>
      </c>
    </row>
    <row r="11" spans="1:12" x14ac:dyDescent="0.35">
      <c r="A11" t="s">
        <v>227</v>
      </c>
      <c r="B11" s="7">
        <v>-1496</v>
      </c>
      <c r="C11" s="7">
        <v>-3025</v>
      </c>
      <c r="D11" s="7">
        <v>1607</v>
      </c>
      <c r="E11" s="7">
        <v>-931</v>
      </c>
      <c r="F11" s="7"/>
      <c r="G11" s="7"/>
      <c r="H11" s="7"/>
      <c r="I11" s="7">
        <v>12</v>
      </c>
      <c r="J11" s="7">
        <v>1080</v>
      </c>
      <c r="K11" s="7"/>
      <c r="L11" s="7">
        <v>-2754</v>
      </c>
    </row>
    <row r="12" spans="1:12" x14ac:dyDescent="0.35">
      <c r="A12" t="s">
        <v>228</v>
      </c>
      <c r="B12" s="7">
        <v>-181037</v>
      </c>
      <c r="C12" s="7"/>
      <c r="D12" s="7">
        <v>-34286</v>
      </c>
      <c r="E12" s="7">
        <v>-84761</v>
      </c>
      <c r="F12" s="7">
        <v>-15576</v>
      </c>
      <c r="G12" s="7">
        <v>-19048</v>
      </c>
      <c r="H12" s="7">
        <v>-20420</v>
      </c>
      <c r="I12" s="7">
        <v>-4488</v>
      </c>
      <c r="J12" s="7">
        <v>134129</v>
      </c>
      <c r="K12" s="7"/>
      <c r="L12" s="7">
        <v>-225487</v>
      </c>
    </row>
    <row r="13" spans="1:12" x14ac:dyDescent="0.35">
      <c r="A13" t="s">
        <v>66</v>
      </c>
      <c r="B13" s="7">
        <v>-8834</v>
      </c>
      <c r="C13" s="7"/>
      <c r="D13" s="7">
        <v>-1349</v>
      </c>
      <c r="E13" s="7">
        <v>-223</v>
      </c>
      <c r="F13" s="7"/>
      <c r="G13" s="7"/>
      <c r="H13" s="7"/>
      <c r="I13" s="7">
        <v>-1008</v>
      </c>
      <c r="J13" s="7">
        <v>3926</v>
      </c>
      <c r="K13" s="7">
        <v>1902</v>
      </c>
      <c r="L13" s="7">
        <v>-5587</v>
      </c>
    </row>
    <row r="14" spans="1:12" x14ac:dyDescent="0.35">
      <c r="A14" t="s">
        <v>229</v>
      </c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</row>
    <row r="15" spans="1:12" x14ac:dyDescent="0.35">
      <c r="A15" t="s">
        <v>230</v>
      </c>
      <c r="B15" s="7">
        <v>-12</v>
      </c>
      <c r="C15" s="7"/>
      <c r="D15" s="7">
        <v>-118</v>
      </c>
      <c r="E15" s="7">
        <v>106</v>
      </c>
      <c r="F15" s="7"/>
      <c r="G15" s="7"/>
      <c r="H15" s="7"/>
      <c r="I15" s="7"/>
      <c r="J15" s="7"/>
      <c r="K15" s="7"/>
      <c r="L15" s="7">
        <v>-24</v>
      </c>
    </row>
    <row r="16" spans="1:12" x14ac:dyDescent="0.35">
      <c r="A16" t="s">
        <v>70</v>
      </c>
      <c r="B16" s="7"/>
      <c r="C16" s="7">
        <v>-397981</v>
      </c>
      <c r="D16" s="7">
        <v>391494</v>
      </c>
      <c r="E16" s="7"/>
      <c r="F16" s="7"/>
      <c r="G16" s="7"/>
      <c r="H16" s="7"/>
      <c r="I16" s="7"/>
      <c r="J16" s="7"/>
      <c r="K16" s="7"/>
      <c r="L16" s="7">
        <v>-6486</v>
      </c>
    </row>
    <row r="17" spans="1:12" x14ac:dyDescent="0.35">
      <c r="A17" t="s">
        <v>231</v>
      </c>
      <c r="B17" s="7">
        <v>-12186</v>
      </c>
      <c r="C17" s="7"/>
      <c r="D17" s="7"/>
      <c r="E17" s="7"/>
      <c r="F17" s="7"/>
      <c r="G17" s="7"/>
      <c r="H17" s="7"/>
      <c r="I17" s="7"/>
      <c r="J17" s="7"/>
      <c r="K17" s="7"/>
      <c r="L17" s="7">
        <v>-12186</v>
      </c>
    </row>
    <row r="18" spans="1:12" x14ac:dyDescent="0.35">
      <c r="A18" t="s">
        <v>232</v>
      </c>
      <c r="B18" s="7"/>
      <c r="C18" s="7">
        <v>962</v>
      </c>
      <c r="D18" s="7"/>
      <c r="E18" s="7">
        <v>-1567</v>
      </c>
      <c r="F18" s="7"/>
      <c r="G18" s="7"/>
      <c r="H18" s="7"/>
      <c r="I18" s="7"/>
      <c r="J18" s="7"/>
      <c r="K18" s="7"/>
      <c r="L18" s="7">
        <v>-605</v>
      </c>
    </row>
    <row r="19" spans="1:12" x14ac:dyDescent="0.35">
      <c r="A19" t="s">
        <v>233</v>
      </c>
      <c r="B19" s="7"/>
      <c r="C19" s="7"/>
      <c r="D19" s="7"/>
      <c r="E19" s="7"/>
      <c r="F19" s="7"/>
      <c r="G19" s="7"/>
      <c r="H19" s="7"/>
      <c r="I19" s="7">
        <v>-13633</v>
      </c>
      <c r="J19" s="7"/>
      <c r="K19" s="7"/>
      <c r="L19" s="7">
        <v>-13633</v>
      </c>
    </row>
    <row r="20" spans="1:12" x14ac:dyDescent="0.35">
      <c r="A20" t="s">
        <v>234</v>
      </c>
      <c r="B20" s="7">
        <v>-1983</v>
      </c>
      <c r="C20" s="7">
        <v>-457</v>
      </c>
      <c r="D20" s="7">
        <v>-19377</v>
      </c>
      <c r="E20" s="7">
        <v>-29797</v>
      </c>
      <c r="F20" s="7"/>
      <c r="G20" s="7"/>
      <c r="H20" s="7"/>
      <c r="I20" s="7"/>
      <c r="J20" s="7">
        <v>-8001</v>
      </c>
      <c r="K20" s="7">
        <v>-349</v>
      </c>
      <c r="L20" s="7">
        <v>-59964</v>
      </c>
    </row>
    <row r="21" spans="1:12" x14ac:dyDescent="0.35">
      <c r="A21" t="s">
        <v>235</v>
      </c>
      <c r="B21" s="7">
        <v>-58</v>
      </c>
      <c r="C21" s="7">
        <v>-148</v>
      </c>
      <c r="D21" s="7">
        <v>-29</v>
      </c>
      <c r="E21" s="7">
        <v>-3155</v>
      </c>
      <c r="F21" s="7"/>
      <c r="G21" s="7"/>
      <c r="H21" s="7"/>
      <c r="I21" s="7"/>
      <c r="J21" s="7">
        <v>-23201</v>
      </c>
      <c r="K21" s="7">
        <v>-18</v>
      </c>
      <c r="L21" s="7">
        <v>-26609</v>
      </c>
    </row>
    <row r="22" spans="1:12" x14ac:dyDescent="0.35">
      <c r="A22" t="s">
        <v>131</v>
      </c>
      <c r="B22" s="7">
        <v>92707</v>
      </c>
      <c r="C22" s="7">
        <v>2283</v>
      </c>
      <c r="D22" s="7">
        <v>312294</v>
      </c>
      <c r="E22" s="7">
        <v>59820</v>
      </c>
      <c r="F22" s="7"/>
      <c r="G22" s="7"/>
      <c r="H22" s="7">
        <v>186</v>
      </c>
      <c r="I22" s="7">
        <v>298544</v>
      </c>
      <c r="J22" s="7">
        <v>107965</v>
      </c>
      <c r="K22" s="7">
        <v>1534</v>
      </c>
      <c r="L22" s="7">
        <v>875334</v>
      </c>
    </row>
    <row r="23" spans="1:12" x14ac:dyDescent="0.35">
      <c r="A23" t="s">
        <v>80</v>
      </c>
      <c r="B23" s="7">
        <v>79207</v>
      </c>
      <c r="C23" s="7"/>
      <c r="D23" s="7">
        <v>50716</v>
      </c>
      <c r="E23" s="7">
        <v>28620</v>
      </c>
      <c r="F23" s="7"/>
      <c r="G23" s="7"/>
      <c r="H23" s="7">
        <v>6</v>
      </c>
      <c r="I23" s="7">
        <v>49489</v>
      </c>
      <c r="J23" s="7">
        <v>48470</v>
      </c>
      <c r="K23" s="7">
        <v>1044</v>
      </c>
      <c r="L23" s="7">
        <v>257552</v>
      </c>
    </row>
    <row r="24" spans="1:12" x14ac:dyDescent="0.35">
      <c r="A24" t="s">
        <v>82</v>
      </c>
      <c r="B24" s="7">
        <v>1</v>
      </c>
      <c r="C24" s="7"/>
      <c r="D24" s="7">
        <v>138493</v>
      </c>
      <c r="E24" s="7">
        <v>1788</v>
      </c>
      <c r="F24" s="7"/>
      <c r="G24" s="7"/>
      <c r="H24" s="7"/>
      <c r="I24" s="7">
        <v>137</v>
      </c>
      <c r="J24" s="7">
        <v>1026</v>
      </c>
      <c r="K24" s="7"/>
      <c r="L24" s="7">
        <v>141445</v>
      </c>
    </row>
    <row r="25" spans="1:12" x14ac:dyDescent="0.35">
      <c r="A25" t="s">
        <v>86</v>
      </c>
      <c r="B25" s="7">
        <v>3567</v>
      </c>
      <c r="C25" s="7"/>
      <c r="D25" s="7">
        <v>37124</v>
      </c>
      <c r="E25" s="7">
        <v>6337</v>
      </c>
      <c r="F25" s="7"/>
      <c r="G25" s="7"/>
      <c r="H25" s="7">
        <v>164</v>
      </c>
      <c r="I25" s="7">
        <v>241008</v>
      </c>
      <c r="J25" s="7">
        <v>27222</v>
      </c>
      <c r="K25" s="7">
        <v>305</v>
      </c>
      <c r="L25" s="7">
        <v>315728</v>
      </c>
    </row>
    <row r="26" spans="1:12" x14ac:dyDescent="0.35">
      <c r="A26" t="s">
        <v>88</v>
      </c>
      <c r="B26" s="7">
        <v>2851</v>
      </c>
      <c r="C26" s="7"/>
      <c r="D26" s="7">
        <v>5713</v>
      </c>
      <c r="E26" s="7">
        <v>1079</v>
      </c>
      <c r="F26" s="7"/>
      <c r="G26" s="7"/>
      <c r="H26" s="7">
        <v>11</v>
      </c>
      <c r="I26" s="7">
        <v>7143</v>
      </c>
      <c r="J26" s="7">
        <v>17189</v>
      </c>
      <c r="K26" s="7">
        <v>138</v>
      </c>
      <c r="L26" s="7">
        <v>34124</v>
      </c>
    </row>
    <row r="27" spans="1:12" x14ac:dyDescent="0.35">
      <c r="A27" t="s">
        <v>90</v>
      </c>
      <c r="B27" s="7">
        <v>33</v>
      </c>
      <c r="C27" s="7"/>
      <c r="D27" s="7">
        <v>15230</v>
      </c>
      <c r="E27" s="7">
        <v>144</v>
      </c>
      <c r="F27" s="7"/>
      <c r="G27" s="7"/>
      <c r="H27" s="7"/>
      <c r="I27" s="7">
        <v>8</v>
      </c>
      <c r="J27" s="7">
        <v>8973</v>
      </c>
      <c r="K27" s="7">
        <v>7</v>
      </c>
      <c r="L27" s="7">
        <v>24395</v>
      </c>
    </row>
    <row r="28" spans="1:12" x14ac:dyDescent="0.35">
      <c r="A28" t="s">
        <v>92</v>
      </c>
      <c r="B28" s="7"/>
      <c r="C28" s="7"/>
      <c r="D28" s="7">
        <v>1201</v>
      </c>
      <c r="E28" s="7"/>
      <c r="F28" s="7"/>
      <c r="G28" s="7"/>
      <c r="H28" s="7"/>
      <c r="I28" s="7"/>
      <c r="J28" s="7">
        <v>92</v>
      </c>
      <c r="K28" s="7"/>
      <c r="L28" s="7">
        <v>1293</v>
      </c>
    </row>
    <row r="29" spans="1:12" x14ac:dyDescent="0.35">
      <c r="A29" t="s">
        <v>94</v>
      </c>
      <c r="B29" s="7">
        <v>6858</v>
      </c>
      <c r="C29" s="7"/>
      <c r="D29" s="7">
        <v>4850</v>
      </c>
      <c r="E29" s="7">
        <v>76</v>
      </c>
      <c r="F29" s="7"/>
      <c r="G29" s="7"/>
      <c r="H29" s="7">
        <v>5</v>
      </c>
      <c r="I29" s="7">
        <v>758</v>
      </c>
      <c r="J29" s="7">
        <v>4993</v>
      </c>
      <c r="K29" s="7">
        <v>41</v>
      </c>
      <c r="L29" s="7">
        <v>17581</v>
      </c>
    </row>
    <row r="30" spans="1:12" x14ac:dyDescent="0.35">
      <c r="A30" t="s">
        <v>236</v>
      </c>
      <c r="B30" s="7">
        <v>190</v>
      </c>
      <c r="C30" s="7">
        <v>2283</v>
      </c>
      <c r="D30" s="7">
        <v>58967</v>
      </c>
      <c r="E30" s="7">
        <v>21775</v>
      </c>
      <c r="F30" s="7"/>
      <c r="G30" s="7"/>
      <c r="H30" s="7"/>
      <c r="I30" s="7"/>
      <c r="J30" s="7"/>
      <c r="K30" s="7"/>
      <c r="L30" s="7">
        <v>83216</v>
      </c>
    </row>
    <row r="32" spans="1:12" x14ac:dyDescent="0.35">
      <c r="B32" s="7">
        <f>SUM(B9,B10:B21,B22*-1)</f>
        <v>1</v>
      </c>
      <c r="C32" s="7">
        <f t="shared" ref="C32:L32" si="0">SUM(C9,C10:C21,C22*-1)</f>
        <v>1</v>
      </c>
      <c r="D32" s="7">
        <f t="shared" si="0"/>
        <v>0</v>
      </c>
      <c r="E32" s="7">
        <f t="shared" si="0"/>
        <v>-1</v>
      </c>
      <c r="F32" s="7">
        <f t="shared" si="0"/>
        <v>0</v>
      </c>
      <c r="G32" s="7">
        <f t="shared" si="0"/>
        <v>0</v>
      </c>
      <c r="H32" s="7">
        <f t="shared" si="0"/>
        <v>0</v>
      </c>
      <c r="I32" s="7">
        <f t="shared" si="0"/>
        <v>0</v>
      </c>
      <c r="J32" s="7">
        <f t="shared" si="0"/>
        <v>1</v>
      </c>
      <c r="K32" s="7">
        <f t="shared" si="0"/>
        <v>1</v>
      </c>
      <c r="L32" s="7">
        <f t="shared" si="0"/>
        <v>0</v>
      </c>
    </row>
  </sheetData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Ark30"/>
  <dimension ref="A1:L32"/>
  <sheetViews>
    <sheetView workbookViewId="0">
      <selection activeCell="A3" sqref="A3:L30"/>
    </sheetView>
  </sheetViews>
  <sheetFormatPr defaultRowHeight="14.5" x14ac:dyDescent="0.35"/>
  <cols>
    <col min="1" max="1" width="30" customWidth="1"/>
    <col min="2" max="2" width="11.54296875" customWidth="1"/>
    <col min="3" max="3" width="12" customWidth="1"/>
    <col min="4" max="4" width="14.54296875" customWidth="1"/>
    <col min="5" max="5" width="14.1796875" customWidth="1"/>
    <col min="8" max="8" width="22.81640625" customWidth="1"/>
    <col min="9" max="9" width="21.81640625" customWidth="1"/>
    <col min="10" max="10" width="13.81640625" customWidth="1"/>
    <col min="11" max="11" width="12.26953125" customWidth="1"/>
    <col min="12" max="12" width="11.81640625" customWidth="1"/>
  </cols>
  <sheetData>
    <row r="1" spans="1:12" x14ac:dyDescent="0.35">
      <c r="B1" t="s">
        <v>214</v>
      </c>
      <c r="C1" t="s">
        <v>2</v>
      </c>
      <c r="D1" t="s">
        <v>215</v>
      </c>
      <c r="E1" t="s">
        <v>216</v>
      </c>
      <c r="F1" t="s">
        <v>5</v>
      </c>
      <c r="G1" t="s">
        <v>6</v>
      </c>
      <c r="H1" t="s">
        <v>217</v>
      </c>
      <c r="I1" t="s">
        <v>8</v>
      </c>
      <c r="J1" t="s">
        <v>9</v>
      </c>
      <c r="K1" t="s">
        <v>10</v>
      </c>
      <c r="L1" t="s">
        <v>218</v>
      </c>
    </row>
    <row r="2" spans="1:12" x14ac:dyDescent="0.35">
      <c r="B2" t="s">
        <v>219</v>
      </c>
      <c r="C2" t="s">
        <v>219</v>
      </c>
      <c r="D2" t="s">
        <v>219</v>
      </c>
      <c r="E2" t="s">
        <v>219</v>
      </c>
      <c r="F2" t="s">
        <v>219</v>
      </c>
      <c r="G2" t="s">
        <v>219</v>
      </c>
      <c r="H2" t="s">
        <v>219</v>
      </c>
      <c r="I2" t="s">
        <v>219</v>
      </c>
      <c r="J2" t="s">
        <v>219</v>
      </c>
      <c r="K2" t="s">
        <v>219</v>
      </c>
      <c r="L2" t="s">
        <v>219</v>
      </c>
    </row>
    <row r="3" spans="1:12" x14ac:dyDescent="0.35">
      <c r="A3" t="s">
        <v>17</v>
      </c>
      <c r="B3" s="7">
        <v>467223</v>
      </c>
      <c r="C3" s="7">
        <v>179337</v>
      </c>
      <c r="D3" s="7"/>
      <c r="E3" s="7">
        <v>274051</v>
      </c>
      <c r="F3" s="7">
        <v>18582</v>
      </c>
      <c r="G3" s="7">
        <v>23426</v>
      </c>
      <c r="H3" s="7">
        <v>26846</v>
      </c>
      <c r="I3" s="7">
        <v>351984</v>
      </c>
      <c r="J3" s="7"/>
      <c r="K3" s="7"/>
      <c r="L3" s="7">
        <v>1341449</v>
      </c>
    </row>
    <row r="4" spans="1:12" x14ac:dyDescent="0.35">
      <c r="A4" t="s">
        <v>220</v>
      </c>
      <c r="B4" s="7">
        <v>141781</v>
      </c>
      <c r="C4" s="7">
        <v>349627</v>
      </c>
      <c r="D4" s="7">
        <v>221423</v>
      </c>
      <c r="E4" s="7">
        <v>45078</v>
      </c>
      <c r="F4" s="7"/>
      <c r="G4" s="7"/>
      <c r="H4" s="7"/>
      <c r="I4" s="7">
        <v>192</v>
      </c>
      <c r="J4" s="7">
        <v>2318</v>
      </c>
      <c r="K4" s="7"/>
      <c r="L4" s="7">
        <v>760419</v>
      </c>
    </row>
    <row r="5" spans="1:12" x14ac:dyDescent="0.35">
      <c r="A5" t="s">
        <v>221</v>
      </c>
      <c r="B5" s="7">
        <v>-183652</v>
      </c>
      <c r="C5" s="7">
        <v>-58651</v>
      </c>
      <c r="D5" s="7">
        <v>-193876</v>
      </c>
      <c r="E5" s="7">
        <v>-84143</v>
      </c>
      <c r="F5" s="7"/>
      <c r="G5" s="7"/>
      <c r="H5" s="7"/>
      <c r="I5" s="7">
        <v>-744</v>
      </c>
      <c r="J5" s="7">
        <v>-1269</v>
      </c>
      <c r="K5" s="7"/>
      <c r="L5" s="7">
        <v>-522335</v>
      </c>
    </row>
    <row r="6" spans="1:12" x14ac:dyDescent="0.35">
      <c r="A6" t="s">
        <v>222</v>
      </c>
      <c r="B6" s="7"/>
      <c r="C6" s="7"/>
      <c r="D6" s="7">
        <v>-45362</v>
      </c>
      <c r="E6" s="7"/>
      <c r="F6" s="7"/>
      <c r="G6" s="7"/>
      <c r="H6" s="7"/>
      <c r="I6" s="7"/>
      <c r="J6" s="7"/>
      <c r="K6" s="7"/>
      <c r="L6" s="7">
        <v>-45362</v>
      </c>
    </row>
    <row r="7" spans="1:12" x14ac:dyDescent="0.35">
      <c r="A7" t="s">
        <v>223</v>
      </c>
      <c r="B7" s="7"/>
      <c r="C7" s="7"/>
      <c r="D7" s="7">
        <v>-20447</v>
      </c>
      <c r="E7" s="7"/>
      <c r="F7" s="7"/>
      <c r="G7" s="7"/>
      <c r="H7" s="7"/>
      <c r="I7" s="7"/>
      <c r="J7" s="7"/>
      <c r="K7" s="7"/>
      <c r="L7" s="7">
        <v>-20447</v>
      </c>
    </row>
    <row r="8" spans="1:12" x14ac:dyDescent="0.35">
      <c r="A8" t="s">
        <v>224</v>
      </c>
      <c r="B8" s="7">
        <v>-3485</v>
      </c>
      <c r="C8" s="7">
        <v>-993</v>
      </c>
      <c r="D8" s="7">
        <v>2943</v>
      </c>
      <c r="E8" s="7">
        <v>-33</v>
      </c>
      <c r="F8" s="7"/>
      <c r="G8" s="7"/>
      <c r="H8" s="7"/>
      <c r="I8" s="7">
        <v>14</v>
      </c>
      <c r="J8" s="7"/>
      <c r="K8" s="7"/>
      <c r="L8" s="7">
        <v>-1555</v>
      </c>
    </row>
    <row r="9" spans="1:12" x14ac:dyDescent="0.35">
      <c r="A9" t="s">
        <v>225</v>
      </c>
      <c r="B9" s="7">
        <v>421866</v>
      </c>
      <c r="C9" s="7">
        <v>469320</v>
      </c>
      <c r="D9" s="7">
        <v>-35320</v>
      </c>
      <c r="E9" s="7">
        <v>234953</v>
      </c>
      <c r="F9" s="7">
        <v>18582</v>
      </c>
      <c r="G9" s="7">
        <v>23426</v>
      </c>
      <c r="H9" s="7">
        <v>26846</v>
      </c>
      <c r="I9" s="7">
        <v>351446</v>
      </c>
      <c r="J9" s="7">
        <v>1049</v>
      </c>
      <c r="K9" s="7"/>
      <c r="L9" s="7">
        <v>1512169</v>
      </c>
    </row>
    <row r="10" spans="1:12" x14ac:dyDescent="0.35">
      <c r="A10" t="s">
        <v>226</v>
      </c>
      <c r="B10" s="7"/>
      <c r="C10" s="7">
        <v>368</v>
      </c>
      <c r="D10" s="7">
        <v>-864</v>
      </c>
      <c r="E10" s="7"/>
      <c r="F10" s="7"/>
      <c r="G10" s="7"/>
      <c r="H10" s="7"/>
      <c r="I10" s="7">
        <v>-47</v>
      </c>
      <c r="J10" s="7"/>
      <c r="K10" s="7"/>
      <c r="L10" s="7">
        <v>-544</v>
      </c>
    </row>
    <row r="11" spans="1:12" x14ac:dyDescent="0.35">
      <c r="A11" t="s">
        <v>227</v>
      </c>
      <c r="B11" s="7">
        <v>246</v>
      </c>
      <c r="C11" s="7">
        <v>-917</v>
      </c>
      <c r="D11" s="7">
        <v>-986</v>
      </c>
      <c r="E11" s="7">
        <v>-9421</v>
      </c>
      <c r="F11" s="7"/>
      <c r="G11" s="7"/>
      <c r="H11" s="7"/>
      <c r="I11" s="7">
        <v>-99</v>
      </c>
      <c r="J11" s="7">
        <v>111</v>
      </c>
      <c r="K11" s="7">
        <v>-2</v>
      </c>
      <c r="L11" s="7">
        <v>-11067</v>
      </c>
    </row>
    <row r="12" spans="1:12" x14ac:dyDescent="0.35">
      <c r="A12" t="s">
        <v>228</v>
      </c>
      <c r="B12" s="7">
        <v>-247129</v>
      </c>
      <c r="C12" s="7"/>
      <c r="D12" s="7">
        <v>-34880</v>
      </c>
      <c r="E12" s="7">
        <v>-116660</v>
      </c>
      <c r="F12" s="7">
        <v>-18582</v>
      </c>
      <c r="G12" s="7">
        <v>-23426</v>
      </c>
      <c r="H12" s="7">
        <v>-26447</v>
      </c>
      <c r="I12" s="7">
        <v>-11757</v>
      </c>
      <c r="J12" s="7">
        <v>176190</v>
      </c>
      <c r="K12" s="7"/>
      <c r="L12" s="7">
        <v>-302691</v>
      </c>
    </row>
    <row r="13" spans="1:12" x14ac:dyDescent="0.35">
      <c r="A13" t="s">
        <v>66</v>
      </c>
      <c r="B13" s="7">
        <v>-10085</v>
      </c>
      <c r="C13" s="7"/>
      <c r="D13" s="7">
        <v>-723</v>
      </c>
      <c r="E13" s="7">
        <v>-239</v>
      </c>
      <c r="F13" s="7"/>
      <c r="G13" s="7"/>
      <c r="H13" s="7"/>
      <c r="I13" s="7">
        <v>-1037</v>
      </c>
      <c r="J13" s="7">
        <v>3855</v>
      </c>
      <c r="K13" s="7">
        <v>2710</v>
      </c>
      <c r="L13" s="7">
        <v>-5520</v>
      </c>
    </row>
    <row r="14" spans="1:12" x14ac:dyDescent="0.35">
      <c r="A14" t="s">
        <v>229</v>
      </c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</row>
    <row r="15" spans="1:12" x14ac:dyDescent="0.35">
      <c r="A15" t="s">
        <v>230</v>
      </c>
      <c r="B15" s="7">
        <v>-15</v>
      </c>
      <c r="C15" s="7"/>
      <c r="D15" s="7"/>
      <c r="E15" s="7"/>
      <c r="F15" s="7"/>
      <c r="G15" s="7"/>
      <c r="H15" s="7"/>
      <c r="I15" s="7"/>
      <c r="J15" s="7"/>
      <c r="K15" s="7"/>
      <c r="L15" s="7">
        <v>-15</v>
      </c>
    </row>
    <row r="16" spans="1:12" x14ac:dyDescent="0.35">
      <c r="A16" t="s">
        <v>70</v>
      </c>
      <c r="B16" s="7"/>
      <c r="C16" s="7">
        <v>-465222</v>
      </c>
      <c r="D16" s="7">
        <v>455983</v>
      </c>
      <c r="E16" s="7"/>
      <c r="F16" s="7"/>
      <c r="G16" s="7"/>
      <c r="H16" s="7"/>
      <c r="I16" s="7"/>
      <c r="J16" s="7"/>
      <c r="K16" s="7"/>
      <c r="L16" s="7">
        <v>-9239</v>
      </c>
    </row>
    <row r="17" spans="1:12" x14ac:dyDescent="0.35">
      <c r="A17" t="s">
        <v>231</v>
      </c>
      <c r="B17" s="7">
        <v>-12946</v>
      </c>
      <c r="C17" s="7"/>
      <c r="D17" s="7"/>
      <c r="E17" s="7"/>
      <c r="F17" s="7"/>
      <c r="G17" s="7"/>
      <c r="H17" s="7"/>
      <c r="I17" s="7"/>
      <c r="J17" s="7"/>
      <c r="K17" s="7"/>
      <c r="L17" s="7">
        <v>-12946</v>
      </c>
    </row>
    <row r="18" spans="1:12" x14ac:dyDescent="0.35">
      <c r="A18" t="s">
        <v>232</v>
      </c>
      <c r="B18" s="7"/>
      <c r="C18" s="7">
        <v>867</v>
      </c>
      <c r="D18" s="7"/>
      <c r="E18" s="7">
        <v>-1057</v>
      </c>
      <c r="F18" s="7"/>
      <c r="G18" s="7"/>
      <c r="H18" s="7"/>
      <c r="I18" s="7"/>
      <c r="J18" s="7"/>
      <c r="K18" s="7"/>
      <c r="L18" s="7">
        <v>-190</v>
      </c>
    </row>
    <row r="19" spans="1:12" x14ac:dyDescent="0.35">
      <c r="A19" t="s">
        <v>233</v>
      </c>
      <c r="B19" s="7"/>
      <c r="C19" s="7"/>
      <c r="D19" s="7"/>
      <c r="E19" s="7"/>
      <c r="F19" s="7"/>
      <c r="G19" s="7"/>
      <c r="H19" s="7"/>
      <c r="I19" s="7">
        <v>-15490</v>
      </c>
      <c r="J19" s="7"/>
      <c r="K19" s="7"/>
      <c r="L19" s="7">
        <v>-15491</v>
      </c>
    </row>
    <row r="20" spans="1:12" x14ac:dyDescent="0.35">
      <c r="A20" t="s">
        <v>234</v>
      </c>
      <c r="B20" s="7">
        <v>-1992</v>
      </c>
      <c r="C20" s="7">
        <v>-308</v>
      </c>
      <c r="D20" s="7">
        <v>-18623</v>
      </c>
      <c r="E20" s="7">
        <v>-23803</v>
      </c>
      <c r="F20" s="7"/>
      <c r="G20" s="7"/>
      <c r="H20" s="7"/>
      <c r="I20" s="7"/>
      <c r="J20" s="7">
        <v>-10067</v>
      </c>
      <c r="K20" s="7">
        <v>-502</v>
      </c>
      <c r="L20" s="7">
        <v>-55295</v>
      </c>
    </row>
    <row r="21" spans="1:12" x14ac:dyDescent="0.35">
      <c r="A21" t="s">
        <v>235</v>
      </c>
      <c r="B21" s="7">
        <v>-135</v>
      </c>
      <c r="C21" s="7">
        <v>-188</v>
      </c>
      <c r="D21" s="7"/>
      <c r="E21" s="7">
        <v>-7130</v>
      </c>
      <c r="F21" s="7"/>
      <c r="G21" s="7"/>
      <c r="H21" s="7"/>
      <c r="I21" s="7"/>
      <c r="J21" s="7">
        <v>-24725</v>
      </c>
      <c r="K21" s="7">
        <v>-20</v>
      </c>
      <c r="L21" s="7">
        <v>-32198</v>
      </c>
    </row>
    <row r="22" spans="1:12" x14ac:dyDescent="0.35">
      <c r="A22" t="s">
        <v>131</v>
      </c>
      <c r="B22" s="7">
        <v>149808</v>
      </c>
      <c r="C22" s="7">
        <v>3920</v>
      </c>
      <c r="D22" s="7">
        <v>364587</v>
      </c>
      <c r="E22" s="7">
        <v>76644</v>
      </c>
      <c r="F22" s="7"/>
      <c r="G22" s="7"/>
      <c r="H22" s="7">
        <v>399</v>
      </c>
      <c r="I22" s="7">
        <v>323015</v>
      </c>
      <c r="J22" s="7">
        <v>146413</v>
      </c>
      <c r="K22" s="7">
        <v>2185</v>
      </c>
      <c r="L22" s="7">
        <v>1066972</v>
      </c>
    </row>
    <row r="23" spans="1:12" x14ac:dyDescent="0.35">
      <c r="A23" t="s">
        <v>80</v>
      </c>
      <c r="B23" s="7">
        <v>132864</v>
      </c>
      <c r="C23" s="7"/>
      <c r="D23" s="7">
        <v>47652</v>
      </c>
      <c r="E23" s="7">
        <v>33534</v>
      </c>
      <c r="F23" s="7"/>
      <c r="G23" s="7"/>
      <c r="H23" s="7">
        <v>18</v>
      </c>
      <c r="I23" s="7">
        <v>53107</v>
      </c>
      <c r="J23" s="7">
        <v>65304</v>
      </c>
      <c r="K23" s="7">
        <v>1611</v>
      </c>
      <c r="L23" s="7">
        <v>334089</v>
      </c>
    </row>
    <row r="24" spans="1:12" x14ac:dyDescent="0.35">
      <c r="A24" t="s">
        <v>82</v>
      </c>
      <c r="B24" s="7">
        <v>33</v>
      </c>
      <c r="C24" s="7"/>
      <c r="D24" s="7">
        <v>177272</v>
      </c>
      <c r="E24" s="7">
        <v>6724</v>
      </c>
      <c r="F24" s="7"/>
      <c r="G24" s="7"/>
      <c r="H24" s="7"/>
      <c r="I24" s="7">
        <v>1105</v>
      </c>
      <c r="J24" s="7">
        <v>1463</v>
      </c>
      <c r="K24" s="7"/>
      <c r="L24" s="7">
        <v>186597</v>
      </c>
    </row>
    <row r="25" spans="1:12" x14ac:dyDescent="0.35">
      <c r="A25" t="s">
        <v>86</v>
      </c>
      <c r="B25" s="7">
        <v>4164</v>
      </c>
      <c r="C25" s="7"/>
      <c r="D25" s="7">
        <v>36076</v>
      </c>
      <c r="E25" s="7">
        <v>8596</v>
      </c>
      <c r="F25" s="7"/>
      <c r="G25" s="7"/>
      <c r="H25" s="7">
        <v>336</v>
      </c>
      <c r="I25" s="7">
        <v>260320</v>
      </c>
      <c r="J25" s="7">
        <v>37351</v>
      </c>
      <c r="K25" s="7">
        <v>336</v>
      </c>
      <c r="L25" s="7">
        <v>347179</v>
      </c>
    </row>
    <row r="26" spans="1:12" x14ac:dyDescent="0.35">
      <c r="A26" t="s">
        <v>88</v>
      </c>
      <c r="B26" s="7">
        <v>3531</v>
      </c>
      <c r="C26" s="7"/>
      <c r="D26" s="7">
        <v>7563</v>
      </c>
      <c r="E26" s="7">
        <v>1948</v>
      </c>
      <c r="F26" s="7"/>
      <c r="G26" s="7"/>
      <c r="H26" s="7">
        <v>31</v>
      </c>
      <c r="I26" s="7">
        <v>7697</v>
      </c>
      <c r="J26" s="7">
        <v>24325</v>
      </c>
      <c r="K26" s="7">
        <v>205</v>
      </c>
      <c r="L26" s="7">
        <v>45299</v>
      </c>
    </row>
    <row r="27" spans="1:12" x14ac:dyDescent="0.35">
      <c r="A27" t="s">
        <v>90</v>
      </c>
      <c r="B27" s="7">
        <v>23</v>
      </c>
      <c r="C27" s="7"/>
      <c r="D27" s="7">
        <v>15642</v>
      </c>
      <c r="E27" s="7">
        <v>183</v>
      </c>
      <c r="F27" s="7"/>
      <c r="G27" s="7"/>
      <c r="H27" s="7"/>
      <c r="I27" s="7">
        <v>9</v>
      </c>
      <c r="J27" s="7">
        <v>12292</v>
      </c>
      <c r="K27" s="7">
        <v>4</v>
      </c>
      <c r="L27" s="7">
        <v>28153</v>
      </c>
    </row>
    <row r="28" spans="1:12" x14ac:dyDescent="0.35">
      <c r="A28" t="s">
        <v>92</v>
      </c>
      <c r="B28" s="7"/>
      <c r="C28" s="7"/>
      <c r="D28" s="7">
        <v>1535</v>
      </c>
      <c r="E28" s="7"/>
      <c r="F28" s="7"/>
      <c r="G28" s="7"/>
      <c r="H28" s="7"/>
      <c r="I28" s="7">
        <v>4</v>
      </c>
      <c r="J28" s="7">
        <v>92</v>
      </c>
      <c r="K28" s="7"/>
      <c r="L28" s="7">
        <v>1631</v>
      </c>
    </row>
    <row r="29" spans="1:12" x14ac:dyDescent="0.35">
      <c r="A29" t="s">
        <v>94</v>
      </c>
      <c r="B29" s="7">
        <v>8912</v>
      </c>
      <c r="C29" s="7"/>
      <c r="D29" s="7">
        <v>6683</v>
      </c>
      <c r="E29" s="7">
        <v>26</v>
      </c>
      <c r="F29" s="7"/>
      <c r="G29" s="7"/>
      <c r="H29" s="7">
        <v>15</v>
      </c>
      <c r="I29" s="7">
        <v>774</v>
      </c>
      <c r="J29" s="7">
        <v>5586</v>
      </c>
      <c r="K29" s="7">
        <v>28</v>
      </c>
      <c r="L29" s="7">
        <v>22022</v>
      </c>
    </row>
    <row r="30" spans="1:12" x14ac:dyDescent="0.35">
      <c r="A30" t="s">
        <v>236</v>
      </c>
      <c r="B30" s="7">
        <v>283</v>
      </c>
      <c r="C30" s="7">
        <v>3920</v>
      </c>
      <c r="D30" s="7">
        <v>72165</v>
      </c>
      <c r="E30" s="7">
        <v>25634</v>
      </c>
      <c r="F30" s="7"/>
      <c r="G30" s="7"/>
      <c r="H30" s="7"/>
      <c r="I30" s="7"/>
      <c r="J30" s="7"/>
      <c r="K30" s="7"/>
      <c r="L30" s="7">
        <v>102001</v>
      </c>
    </row>
    <row r="32" spans="1:12" x14ac:dyDescent="0.35">
      <c r="B32" s="7">
        <f>SUM(B9,B10:B21,B22*-1)</f>
        <v>2</v>
      </c>
      <c r="C32" s="7">
        <f t="shared" ref="C32:L32" si="0">SUM(C9,C10:C21,C22*-1)</f>
        <v>0</v>
      </c>
      <c r="D32" s="7">
        <f t="shared" si="0"/>
        <v>0</v>
      </c>
      <c r="E32" s="7">
        <f t="shared" si="0"/>
        <v>-1</v>
      </c>
      <c r="F32" s="7">
        <f t="shared" si="0"/>
        <v>0</v>
      </c>
      <c r="G32" s="7">
        <f t="shared" si="0"/>
        <v>0</v>
      </c>
      <c r="H32" s="7">
        <f t="shared" si="0"/>
        <v>0</v>
      </c>
      <c r="I32" s="7">
        <f t="shared" si="0"/>
        <v>1</v>
      </c>
      <c r="J32" s="7">
        <f t="shared" si="0"/>
        <v>0</v>
      </c>
      <c r="K32" s="7">
        <f t="shared" si="0"/>
        <v>1</v>
      </c>
      <c r="L32" s="7">
        <f t="shared" si="0"/>
        <v>1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I152"/>
  <sheetViews>
    <sheetView zoomScale="80" zoomScaleNormal="80" workbookViewId="0">
      <pane ySplit="1" topLeftCell="A2" activePane="bottomLeft" state="frozen"/>
      <selection pane="bottomLeft" activeCell="H145" sqref="H145"/>
    </sheetView>
  </sheetViews>
  <sheetFormatPr defaultRowHeight="14.5" x14ac:dyDescent="0.35"/>
  <cols>
    <col min="1" max="1" width="53.54296875" customWidth="1"/>
    <col min="2" max="2" width="13.453125" customWidth="1"/>
    <col min="3" max="3" width="13.54296875" customWidth="1"/>
    <col min="4" max="5" width="13.1796875" customWidth="1"/>
    <col min="6" max="6" width="12.54296875" customWidth="1"/>
    <col min="7" max="7" width="12.7265625" customWidth="1"/>
    <col min="8" max="8" width="12.54296875" customWidth="1"/>
    <col min="9" max="9" width="13.453125" customWidth="1"/>
  </cols>
  <sheetData>
    <row r="1" spans="1:9" x14ac:dyDescent="0.35">
      <c r="B1" s="115">
        <v>1995</v>
      </c>
      <c r="C1" s="115">
        <v>2000</v>
      </c>
      <c r="D1" s="115">
        <v>2005</v>
      </c>
      <c r="E1" s="115">
        <v>2010</v>
      </c>
      <c r="F1" s="115">
        <v>2015</v>
      </c>
      <c r="G1" s="115">
        <v>2018</v>
      </c>
      <c r="H1" s="115">
        <v>2030</v>
      </c>
      <c r="I1" s="115">
        <v>2050</v>
      </c>
    </row>
    <row r="3" spans="1:9" ht="15.5" x14ac:dyDescent="0.35">
      <c r="A3" s="99" t="s">
        <v>102</v>
      </c>
    </row>
    <row r="5" spans="1:9" x14ac:dyDescent="0.35">
      <c r="A5" s="96" t="s">
        <v>103</v>
      </c>
    </row>
    <row r="6" spans="1:9" x14ac:dyDescent="0.35">
      <c r="A6" t="s">
        <v>104</v>
      </c>
      <c r="B6" s="75">
        <f>'KF World'!B4*-1</f>
        <v>251457.27135999998</v>
      </c>
      <c r="C6" s="75">
        <f>'KF World'!C4*-1</f>
        <v>269066.54096000001</v>
      </c>
      <c r="D6" s="75">
        <f>'KF World'!D4*-1</f>
        <v>304703.75828800001</v>
      </c>
      <c r="E6" s="75">
        <f>'KF World'!E4*-1</f>
        <v>338009.24955200002</v>
      </c>
      <c r="F6" s="75">
        <f>'KF World'!F4*-1</f>
        <v>358988.67081599997</v>
      </c>
      <c r="G6" s="75">
        <f>'KF World'!G4*-1</f>
        <v>377724.84155199997</v>
      </c>
      <c r="H6" s="45"/>
      <c r="I6" s="45"/>
    </row>
    <row r="7" spans="1:9" x14ac:dyDescent="0.35">
      <c r="A7" t="s">
        <v>105</v>
      </c>
      <c r="B7" s="75"/>
      <c r="C7" s="75"/>
      <c r="D7" s="75"/>
      <c r="E7" s="75"/>
      <c r="F7" s="75"/>
      <c r="G7" s="75"/>
      <c r="H7" s="45"/>
      <c r="I7" s="45"/>
    </row>
    <row r="8" spans="1:9" x14ac:dyDescent="0.35">
      <c r="A8" t="s">
        <v>106</v>
      </c>
      <c r="B8" s="75"/>
      <c r="C8" s="75"/>
      <c r="D8" s="75"/>
      <c r="E8" s="75"/>
      <c r="F8" s="75"/>
      <c r="G8" s="75"/>
      <c r="H8" s="45"/>
      <c r="I8" s="45"/>
    </row>
    <row r="9" spans="1:9" x14ac:dyDescent="0.35">
      <c r="A9" t="s">
        <v>107</v>
      </c>
      <c r="H9" s="45"/>
      <c r="I9" s="45"/>
    </row>
    <row r="10" spans="1:9" x14ac:dyDescent="0.35">
      <c r="A10" t="s">
        <v>108</v>
      </c>
      <c r="H10" s="45"/>
      <c r="I10" s="45"/>
    </row>
    <row r="11" spans="1:9" x14ac:dyDescent="0.35">
      <c r="A11" t="s">
        <v>109</v>
      </c>
      <c r="H11" s="45"/>
      <c r="I11" s="45"/>
    </row>
    <row r="12" spans="1:9" x14ac:dyDescent="0.35">
      <c r="A12" t="s">
        <v>110</v>
      </c>
      <c r="H12" s="45"/>
      <c r="I12" s="45"/>
    </row>
    <row r="13" spans="1:9" x14ac:dyDescent="0.35">
      <c r="A13" t="s">
        <v>111</v>
      </c>
      <c r="H13" s="45"/>
      <c r="I13" s="45"/>
    </row>
    <row r="14" spans="1:9" x14ac:dyDescent="0.35">
      <c r="A14" t="s">
        <v>112</v>
      </c>
      <c r="H14" s="45"/>
      <c r="I14" s="45"/>
    </row>
    <row r="15" spans="1:9" x14ac:dyDescent="0.35">
      <c r="A15" s="98" t="s">
        <v>113</v>
      </c>
      <c r="H15" s="45"/>
      <c r="I15" s="45"/>
    </row>
    <row r="17" spans="1:9" ht="15.5" x14ac:dyDescent="0.35">
      <c r="A17" s="99" t="s">
        <v>114</v>
      </c>
    </row>
    <row r="19" spans="1:9" x14ac:dyDescent="0.35">
      <c r="A19" s="96" t="s">
        <v>115</v>
      </c>
    </row>
    <row r="20" spans="1:9" x14ac:dyDescent="0.35">
      <c r="A20" t="s">
        <v>116</v>
      </c>
      <c r="B20" s="75">
        <f>' KF OECD total'!B5*-1</f>
        <v>125626.551744</v>
      </c>
      <c r="C20" s="75">
        <f>' KF OECD total'!C5*-1</f>
        <v>137184.64739199998</v>
      </c>
      <c r="D20" s="75">
        <f>' KF OECD total'!D5*-1</f>
        <v>141741.200304</v>
      </c>
      <c r="E20" s="75">
        <f>' KF OECD total'!E5*-1</f>
        <v>140126.82534400001</v>
      </c>
      <c r="F20" s="75">
        <f>' KF OECD total'!F5*-1</f>
        <v>137554.33528</v>
      </c>
      <c r="G20" s="75">
        <f>' KF OECD total'!G5*-1</f>
        <v>142733.10611200001</v>
      </c>
      <c r="H20" s="45"/>
      <c r="I20" s="45"/>
    </row>
    <row r="21" spans="1:9" x14ac:dyDescent="0.35">
      <c r="A21" t="s">
        <v>105</v>
      </c>
      <c r="H21" s="45"/>
      <c r="I21" s="45"/>
    </row>
    <row r="22" spans="1:9" x14ac:dyDescent="0.35">
      <c r="A22" t="s">
        <v>106</v>
      </c>
      <c r="H22" s="45"/>
      <c r="I22" s="45"/>
    </row>
    <row r="23" spans="1:9" x14ac:dyDescent="0.35">
      <c r="A23" t="s">
        <v>107</v>
      </c>
      <c r="H23" s="45"/>
      <c r="I23" s="45"/>
    </row>
    <row r="24" spans="1:9" x14ac:dyDescent="0.35">
      <c r="A24" t="s">
        <v>108</v>
      </c>
      <c r="H24" s="45"/>
      <c r="I24" s="45"/>
    </row>
    <row r="25" spans="1:9" x14ac:dyDescent="0.35">
      <c r="A25" t="s">
        <v>109</v>
      </c>
      <c r="H25" s="45"/>
      <c r="I25" s="45"/>
    </row>
    <row r="26" spans="1:9" x14ac:dyDescent="0.35">
      <c r="A26" t="s">
        <v>110</v>
      </c>
      <c r="H26" s="45"/>
      <c r="I26" s="45"/>
    </row>
    <row r="27" spans="1:9" x14ac:dyDescent="0.35">
      <c r="A27" t="s">
        <v>111</v>
      </c>
      <c r="H27" s="45"/>
      <c r="I27" s="45"/>
    </row>
    <row r="28" spans="1:9" x14ac:dyDescent="0.35">
      <c r="A28" t="s">
        <v>112</v>
      </c>
      <c r="H28" s="45"/>
      <c r="I28" s="45"/>
    </row>
    <row r="29" spans="1:9" x14ac:dyDescent="0.35">
      <c r="A29" s="98" t="s">
        <v>113</v>
      </c>
      <c r="H29" s="45"/>
      <c r="I29" s="45"/>
    </row>
    <row r="30" spans="1:9" x14ac:dyDescent="0.35">
      <c r="A30" s="98"/>
    </row>
    <row r="31" spans="1:9" x14ac:dyDescent="0.35">
      <c r="A31" s="96" t="s">
        <v>117</v>
      </c>
    </row>
    <row r="32" spans="1:9" x14ac:dyDescent="0.35">
      <c r="A32" t="s">
        <v>116</v>
      </c>
      <c r="B32" s="75">
        <f>'KF Non-OECD total'!B5*-1</f>
        <v>116203.30001599999</v>
      </c>
      <c r="C32" s="75">
        <f>'KF Non-OECD total'!C5*-1</f>
        <v>120406.327632</v>
      </c>
      <c r="D32" s="75">
        <f>'KF Non-OECD total'!D5*-1</f>
        <v>149665.47630400001</v>
      </c>
      <c r="E32" s="75">
        <f>'KF Non-OECD total'!E5*-1</f>
        <v>182879.01665599999</v>
      </c>
      <c r="F32" s="75">
        <f>'KF Non-OECD total'!F5*-1</f>
        <v>205485.83507199999</v>
      </c>
      <c r="G32" s="75">
        <f>'KF Non-OECD total'!G5*-1</f>
        <v>217316.85241600001</v>
      </c>
      <c r="H32" s="45"/>
      <c r="I32" s="45"/>
    </row>
    <row r="33" spans="1:9" x14ac:dyDescent="0.35">
      <c r="A33" t="s">
        <v>105</v>
      </c>
      <c r="H33" s="45"/>
      <c r="I33" s="45"/>
    </row>
    <row r="34" spans="1:9" x14ac:dyDescent="0.35">
      <c r="A34" t="s">
        <v>106</v>
      </c>
      <c r="H34" s="45"/>
      <c r="I34" s="45"/>
    </row>
    <row r="35" spans="1:9" x14ac:dyDescent="0.35">
      <c r="A35" t="s">
        <v>107</v>
      </c>
      <c r="H35" s="45"/>
      <c r="I35" s="45"/>
    </row>
    <row r="36" spans="1:9" x14ac:dyDescent="0.35">
      <c r="A36" t="s">
        <v>108</v>
      </c>
      <c r="H36" s="45"/>
      <c r="I36" s="45"/>
    </row>
    <row r="37" spans="1:9" x14ac:dyDescent="0.35">
      <c r="A37" t="s">
        <v>109</v>
      </c>
      <c r="H37" s="45"/>
      <c r="I37" s="45"/>
    </row>
    <row r="38" spans="1:9" x14ac:dyDescent="0.35">
      <c r="A38" t="s">
        <v>110</v>
      </c>
      <c r="H38" s="45"/>
      <c r="I38" s="45"/>
    </row>
    <row r="39" spans="1:9" x14ac:dyDescent="0.35">
      <c r="A39" t="s">
        <v>111</v>
      </c>
      <c r="H39" s="45"/>
      <c r="I39" s="45"/>
    </row>
    <row r="40" spans="1:9" x14ac:dyDescent="0.35">
      <c r="A40" t="s">
        <v>112</v>
      </c>
      <c r="H40" s="45"/>
      <c r="I40" s="45"/>
    </row>
    <row r="41" spans="1:9" x14ac:dyDescent="0.35">
      <c r="A41" s="98" t="s">
        <v>113</v>
      </c>
      <c r="H41" s="45"/>
      <c r="I41" s="45"/>
    </row>
    <row r="44" spans="1:9" ht="15.5" x14ac:dyDescent="0.35">
      <c r="A44" s="99" t="s">
        <v>118</v>
      </c>
    </row>
    <row r="46" spans="1:9" x14ac:dyDescent="0.35">
      <c r="A46" s="96" t="s">
        <v>119</v>
      </c>
    </row>
    <row r="47" spans="1:9" x14ac:dyDescent="0.35">
      <c r="A47" t="s">
        <v>116</v>
      </c>
      <c r="B47" s="75">
        <f>' KF Non-OECD Americas'!B5*-1</f>
        <v>11096.833696</v>
      </c>
      <c r="C47" s="75">
        <f>' KF Non-OECD Americas'!C5*-1</f>
        <v>12503.942256</v>
      </c>
      <c r="D47" s="75">
        <f>' KF Non-OECD Americas'!D5*-1</f>
        <v>14013.218496</v>
      </c>
      <c r="E47" s="75">
        <f>' KF Non-OECD Americas'!E5*-1</f>
        <v>16415.415136</v>
      </c>
      <c r="F47" s="75">
        <f>' KF Non-OECD Americas'!F5*-1</f>
        <v>17875.868623999999</v>
      </c>
      <c r="G47" s="75">
        <f>' KF Non-OECD Americas'!G5*-1</f>
        <v>17698.205728000001</v>
      </c>
      <c r="H47" s="45"/>
      <c r="I47" s="45"/>
    </row>
    <row r="48" spans="1:9" x14ac:dyDescent="0.35">
      <c r="A48" t="s">
        <v>105</v>
      </c>
      <c r="H48" s="45"/>
      <c r="I48" s="45"/>
    </row>
    <row r="49" spans="1:9" x14ac:dyDescent="0.35">
      <c r="A49" t="s">
        <v>106</v>
      </c>
      <c r="H49" s="45"/>
      <c r="I49" s="45"/>
    </row>
    <row r="50" spans="1:9" x14ac:dyDescent="0.35">
      <c r="A50" t="s">
        <v>107</v>
      </c>
      <c r="H50" s="45"/>
      <c r="I50" s="45"/>
    </row>
    <row r="51" spans="1:9" x14ac:dyDescent="0.35">
      <c r="A51" t="s">
        <v>108</v>
      </c>
      <c r="H51" s="45"/>
      <c r="I51" s="45"/>
    </row>
    <row r="52" spans="1:9" x14ac:dyDescent="0.35">
      <c r="A52" t="s">
        <v>109</v>
      </c>
      <c r="H52" s="45"/>
      <c r="I52" s="45"/>
    </row>
    <row r="53" spans="1:9" x14ac:dyDescent="0.35">
      <c r="A53" t="s">
        <v>110</v>
      </c>
      <c r="H53" s="45"/>
      <c r="I53" s="45"/>
    </row>
    <row r="54" spans="1:9" x14ac:dyDescent="0.35">
      <c r="A54" t="s">
        <v>111</v>
      </c>
      <c r="H54" s="45"/>
      <c r="I54" s="45"/>
    </row>
    <row r="55" spans="1:9" x14ac:dyDescent="0.35">
      <c r="A55" t="s">
        <v>112</v>
      </c>
      <c r="H55" s="45"/>
      <c r="I55" s="45"/>
    </row>
    <row r="56" spans="1:9" x14ac:dyDescent="0.35">
      <c r="A56" s="98" t="s">
        <v>113</v>
      </c>
      <c r="H56" s="45"/>
      <c r="I56" s="45"/>
    </row>
    <row r="58" spans="1:9" x14ac:dyDescent="0.35">
      <c r="A58" s="96" t="s">
        <v>120</v>
      </c>
    </row>
    <row r="59" spans="1:9" x14ac:dyDescent="0.35">
      <c r="A59" t="s">
        <v>116</v>
      </c>
      <c r="B59" s="75">
        <f>' KF Non-OECD Europe Eurasia '!B5*-1</f>
        <v>28484.014208000001</v>
      </c>
      <c r="C59" s="75">
        <f>' KF Non-OECD Europe Eurasia '!C5*-1</f>
        <v>25146.062112</v>
      </c>
      <c r="D59" s="75">
        <f>' KF Non-OECD Europe Eurasia '!D5*-1</f>
        <v>25529.818992</v>
      </c>
      <c r="E59" s="75">
        <f>' KF Non-OECD Europe Eurasia '!E5*-1</f>
        <v>26424.749248</v>
      </c>
      <c r="F59" s="75">
        <f>' KF Non-OECD Europe Eurasia '!F5*-1</f>
        <v>25882.464975999999</v>
      </c>
      <c r="G59" s="75">
        <f>' KF Non-OECD Europe Eurasia '!G5*-1</f>
        <v>28234.415216000001</v>
      </c>
      <c r="H59" s="45"/>
      <c r="I59" s="45"/>
    </row>
    <row r="60" spans="1:9" x14ac:dyDescent="0.35">
      <c r="A60" t="s">
        <v>105</v>
      </c>
      <c r="H60" s="45"/>
      <c r="I60" s="45"/>
    </row>
    <row r="61" spans="1:9" x14ac:dyDescent="0.35">
      <c r="A61" t="s">
        <v>106</v>
      </c>
      <c r="H61" s="45"/>
      <c r="I61" s="45"/>
    </row>
    <row r="62" spans="1:9" x14ac:dyDescent="0.35">
      <c r="A62" t="s">
        <v>107</v>
      </c>
      <c r="H62" s="45"/>
      <c r="I62" s="45"/>
    </row>
    <row r="63" spans="1:9" x14ac:dyDescent="0.35">
      <c r="A63" t="s">
        <v>108</v>
      </c>
      <c r="H63" s="45"/>
      <c r="I63" s="45"/>
    </row>
    <row r="64" spans="1:9" x14ac:dyDescent="0.35">
      <c r="A64" t="s">
        <v>109</v>
      </c>
      <c r="H64" s="45"/>
      <c r="I64" s="45"/>
    </row>
    <row r="65" spans="1:9" x14ac:dyDescent="0.35">
      <c r="A65" t="s">
        <v>110</v>
      </c>
      <c r="H65" s="45"/>
      <c r="I65" s="45"/>
    </row>
    <row r="66" spans="1:9" x14ac:dyDescent="0.35">
      <c r="A66" t="s">
        <v>111</v>
      </c>
      <c r="H66" s="45"/>
      <c r="I66" s="45"/>
    </row>
    <row r="67" spans="1:9" x14ac:dyDescent="0.35">
      <c r="A67" t="s">
        <v>112</v>
      </c>
      <c r="H67" s="45"/>
      <c r="I67" s="45"/>
    </row>
    <row r="68" spans="1:9" x14ac:dyDescent="0.35">
      <c r="A68" s="98" t="s">
        <v>113</v>
      </c>
      <c r="H68" s="45"/>
      <c r="I68" s="45"/>
    </row>
    <row r="70" spans="1:9" x14ac:dyDescent="0.35">
      <c r="A70" s="96" t="s">
        <v>121</v>
      </c>
    </row>
    <row r="71" spans="1:9" x14ac:dyDescent="0.35">
      <c r="A71" t="s">
        <v>116</v>
      </c>
      <c r="B71" s="75">
        <f>' KF Asia excluding China'!B5*-1</f>
        <v>24958.894272000001</v>
      </c>
      <c r="C71" s="75">
        <f>' KF Asia excluding China'!C5*-1</f>
        <v>28603.684384</v>
      </c>
      <c r="D71" s="75">
        <f>' KF Asia excluding China'!D5*-1</f>
        <v>33167.564895999996</v>
      </c>
      <c r="E71" s="75">
        <f>' KF Asia excluding China'!E5*-1</f>
        <v>40405.265712</v>
      </c>
      <c r="F71" s="75">
        <f>' KF Asia excluding China'!F5*-1</f>
        <v>45430.198815999996</v>
      </c>
      <c r="G71" s="75">
        <f>' KF Asia excluding China'!G5*-1</f>
        <v>49275.053344</v>
      </c>
      <c r="H71" s="45"/>
      <c r="I71" s="45"/>
    </row>
    <row r="72" spans="1:9" x14ac:dyDescent="0.35">
      <c r="A72" t="s">
        <v>105</v>
      </c>
      <c r="H72" s="45"/>
      <c r="I72" s="45"/>
    </row>
    <row r="73" spans="1:9" x14ac:dyDescent="0.35">
      <c r="A73" t="s">
        <v>106</v>
      </c>
      <c r="H73" s="45"/>
      <c r="I73" s="45"/>
    </row>
    <row r="74" spans="1:9" x14ac:dyDescent="0.35">
      <c r="A74" t="s">
        <v>107</v>
      </c>
      <c r="H74" s="45"/>
      <c r="I74" s="45"/>
    </row>
    <row r="75" spans="1:9" x14ac:dyDescent="0.35">
      <c r="A75" t="s">
        <v>108</v>
      </c>
      <c r="H75" s="45"/>
      <c r="I75" s="45"/>
    </row>
    <row r="76" spans="1:9" x14ac:dyDescent="0.35">
      <c r="A76" t="s">
        <v>109</v>
      </c>
      <c r="H76" s="45"/>
      <c r="I76" s="45"/>
    </row>
    <row r="77" spans="1:9" x14ac:dyDescent="0.35">
      <c r="A77" t="s">
        <v>110</v>
      </c>
      <c r="H77" s="45"/>
      <c r="I77" s="45"/>
    </row>
    <row r="78" spans="1:9" x14ac:dyDescent="0.35">
      <c r="A78" t="s">
        <v>111</v>
      </c>
      <c r="H78" s="45"/>
      <c r="I78" s="45"/>
    </row>
    <row r="79" spans="1:9" x14ac:dyDescent="0.35">
      <c r="A79" t="s">
        <v>112</v>
      </c>
      <c r="H79" s="45"/>
      <c r="I79" s="45"/>
    </row>
    <row r="80" spans="1:9" x14ac:dyDescent="0.35">
      <c r="A80" s="98" t="s">
        <v>113</v>
      </c>
      <c r="H80" s="45"/>
      <c r="I80" s="45"/>
    </row>
    <row r="82" spans="1:9" x14ac:dyDescent="0.35">
      <c r="A82" s="96" t="s">
        <v>122</v>
      </c>
    </row>
    <row r="83" spans="1:9" x14ac:dyDescent="0.35">
      <c r="A83" t="s">
        <v>116</v>
      </c>
      <c r="B83" s="75">
        <f>' KF Middle East'!B5*-1</f>
        <v>7419.7183999999997</v>
      </c>
      <c r="C83" s="75">
        <f>' KF Middle East'!C5*-1</f>
        <v>8799.9451360000003</v>
      </c>
      <c r="D83" s="75">
        <f>' KF Middle East'!D5*-1</f>
        <v>11349.363728</v>
      </c>
      <c r="E83" s="75">
        <f>' KF Middle East'!E5*-1</f>
        <v>15104.570303999999</v>
      </c>
      <c r="F83" s="75">
        <f>' KF Middle East'!F5*-1</f>
        <v>17575.060175999999</v>
      </c>
      <c r="G83" s="75">
        <f>' KF Middle East'!G5*-1</f>
        <v>18399.059264</v>
      </c>
      <c r="H83" s="45"/>
      <c r="I83" s="45"/>
    </row>
    <row r="84" spans="1:9" x14ac:dyDescent="0.35">
      <c r="A84" t="s">
        <v>105</v>
      </c>
      <c r="H84" s="45"/>
      <c r="I84" s="45"/>
    </row>
    <row r="85" spans="1:9" x14ac:dyDescent="0.35">
      <c r="A85" t="s">
        <v>106</v>
      </c>
      <c r="H85" s="45"/>
      <c r="I85" s="45"/>
    </row>
    <row r="86" spans="1:9" x14ac:dyDescent="0.35">
      <c r="A86" t="s">
        <v>107</v>
      </c>
      <c r="H86" s="45"/>
      <c r="I86" s="45"/>
    </row>
    <row r="87" spans="1:9" x14ac:dyDescent="0.35">
      <c r="A87" t="s">
        <v>108</v>
      </c>
      <c r="H87" s="45"/>
      <c r="I87" s="45"/>
    </row>
    <row r="88" spans="1:9" x14ac:dyDescent="0.35">
      <c r="A88" t="s">
        <v>109</v>
      </c>
      <c r="H88" s="45"/>
      <c r="I88" s="45"/>
    </row>
    <row r="89" spans="1:9" x14ac:dyDescent="0.35">
      <c r="A89" t="s">
        <v>110</v>
      </c>
      <c r="H89" s="45"/>
      <c r="I89" s="45"/>
    </row>
    <row r="90" spans="1:9" x14ac:dyDescent="0.35">
      <c r="A90" t="s">
        <v>111</v>
      </c>
      <c r="H90" s="45"/>
      <c r="I90" s="45"/>
    </row>
    <row r="91" spans="1:9" x14ac:dyDescent="0.35">
      <c r="A91" t="s">
        <v>112</v>
      </c>
      <c r="H91" s="45"/>
      <c r="I91" s="45"/>
    </row>
    <row r="92" spans="1:9" x14ac:dyDescent="0.35">
      <c r="A92" s="98" t="s">
        <v>113</v>
      </c>
      <c r="H92" s="45"/>
      <c r="I92" s="45"/>
    </row>
    <row r="94" spans="1:9" x14ac:dyDescent="0.35">
      <c r="A94" s="96" t="s">
        <v>123</v>
      </c>
    </row>
    <row r="95" spans="1:9" x14ac:dyDescent="0.35">
      <c r="A95" t="s">
        <v>116</v>
      </c>
      <c r="B95" s="75">
        <f>' KF Africa'!B5*-1</f>
        <v>12922.997232</v>
      </c>
      <c r="C95" s="75">
        <f>' KF Africa'!C5*-1</f>
        <v>14649.966</v>
      </c>
      <c r="D95" s="75">
        <f>' KF Africa'!D5*-1</f>
        <v>17499.690576000001</v>
      </c>
      <c r="E95" s="75">
        <f>' KF Africa'!E5*-1</f>
        <v>20023.692864000001</v>
      </c>
      <c r="F95" s="75">
        <f>' KF Africa'!F5*-1</f>
        <v>22969.932400000002</v>
      </c>
      <c r="G95" s="75">
        <f>' KF Africa'!G5*-1</f>
        <v>24654.736064000001</v>
      </c>
      <c r="H95" s="45"/>
      <c r="I95" s="45"/>
    </row>
    <row r="96" spans="1:9" x14ac:dyDescent="0.35">
      <c r="A96" t="s">
        <v>105</v>
      </c>
      <c r="H96" s="45"/>
      <c r="I96" s="45"/>
    </row>
    <row r="97" spans="1:9" x14ac:dyDescent="0.35">
      <c r="A97" t="s">
        <v>106</v>
      </c>
      <c r="H97" s="45"/>
      <c r="I97" s="45"/>
    </row>
    <row r="98" spans="1:9" x14ac:dyDescent="0.35">
      <c r="A98" t="s">
        <v>107</v>
      </c>
      <c r="H98" s="45"/>
      <c r="I98" s="45"/>
    </row>
    <row r="99" spans="1:9" x14ac:dyDescent="0.35">
      <c r="A99" t="s">
        <v>108</v>
      </c>
      <c r="H99" s="45"/>
      <c r="I99" s="45"/>
    </row>
    <row r="100" spans="1:9" x14ac:dyDescent="0.35">
      <c r="A100" t="s">
        <v>109</v>
      </c>
      <c r="H100" s="45"/>
      <c r="I100" s="45"/>
    </row>
    <row r="101" spans="1:9" x14ac:dyDescent="0.35">
      <c r="A101" t="s">
        <v>110</v>
      </c>
      <c r="H101" s="45"/>
      <c r="I101" s="45"/>
    </row>
    <row r="102" spans="1:9" x14ac:dyDescent="0.35">
      <c r="A102" t="s">
        <v>111</v>
      </c>
      <c r="H102" s="45"/>
      <c r="I102" s="45"/>
    </row>
    <row r="103" spans="1:9" x14ac:dyDescent="0.35">
      <c r="A103" t="s">
        <v>112</v>
      </c>
      <c r="H103" s="45"/>
      <c r="I103" s="45"/>
    </row>
    <row r="104" spans="1:9" x14ac:dyDescent="0.35">
      <c r="A104" s="98" t="s">
        <v>113</v>
      </c>
      <c r="H104" s="45"/>
      <c r="I104" s="45"/>
    </row>
    <row r="106" spans="1:9" x14ac:dyDescent="0.35">
      <c r="A106" s="96" t="s">
        <v>124</v>
      </c>
    </row>
    <row r="107" spans="1:9" x14ac:dyDescent="0.35">
      <c r="A107" t="s">
        <v>116</v>
      </c>
      <c r="B107" s="75">
        <f>' KF China'!B5*-1</f>
        <v>31320.925952000001</v>
      </c>
      <c r="C107" s="75">
        <f>' KF China'!C5*-1</f>
        <v>30702.727744</v>
      </c>
      <c r="D107" s="75">
        <f>' KF China'!D5*-1</f>
        <v>48105.819616000001</v>
      </c>
      <c r="E107" s="75">
        <f>' KF China'!E5*-1</f>
        <v>64505.365264</v>
      </c>
      <c r="F107" s="75">
        <f>' KF China'!F5*-1</f>
        <v>75752.142592000004</v>
      </c>
      <c r="G107" s="75">
        <f>' KF China'!G5*-1</f>
        <v>79055.59216</v>
      </c>
      <c r="H107" s="45"/>
      <c r="I107" s="45"/>
    </row>
    <row r="108" spans="1:9" x14ac:dyDescent="0.35">
      <c r="A108" t="s">
        <v>105</v>
      </c>
      <c r="H108" s="45"/>
      <c r="I108" s="45"/>
    </row>
    <row r="109" spans="1:9" x14ac:dyDescent="0.35">
      <c r="A109" t="s">
        <v>106</v>
      </c>
      <c r="H109" s="45"/>
      <c r="I109" s="45"/>
    </row>
    <row r="110" spans="1:9" x14ac:dyDescent="0.35">
      <c r="A110" t="s">
        <v>107</v>
      </c>
      <c r="H110" s="45"/>
      <c r="I110" s="45"/>
    </row>
    <row r="111" spans="1:9" x14ac:dyDescent="0.35">
      <c r="A111" t="s">
        <v>108</v>
      </c>
      <c r="H111" s="45"/>
      <c r="I111" s="45"/>
    </row>
    <row r="112" spans="1:9" x14ac:dyDescent="0.35">
      <c r="A112" t="s">
        <v>109</v>
      </c>
      <c r="H112" s="45"/>
      <c r="I112" s="45"/>
    </row>
    <row r="113" spans="1:9" x14ac:dyDescent="0.35">
      <c r="A113" t="s">
        <v>110</v>
      </c>
      <c r="H113" s="45"/>
      <c r="I113" s="45"/>
    </row>
    <row r="114" spans="1:9" x14ac:dyDescent="0.35">
      <c r="A114" t="s">
        <v>111</v>
      </c>
      <c r="H114" s="45"/>
      <c r="I114" s="45"/>
    </row>
    <row r="115" spans="1:9" x14ac:dyDescent="0.35">
      <c r="A115" t="s">
        <v>112</v>
      </c>
      <c r="H115" s="45"/>
      <c r="I115" s="45"/>
    </row>
    <row r="116" spans="1:9" x14ac:dyDescent="0.35">
      <c r="A116" s="98" t="s">
        <v>113</v>
      </c>
      <c r="H116" s="45"/>
      <c r="I116" s="45"/>
    </row>
    <row r="118" spans="1:9" x14ac:dyDescent="0.35">
      <c r="A118" s="96" t="s">
        <v>125</v>
      </c>
    </row>
    <row r="119" spans="1:9" x14ac:dyDescent="0.35">
      <c r="A119" t="s">
        <v>116</v>
      </c>
      <c r="B119" s="75">
        <f>' KF OECD Americas'!B5*-1</f>
        <v>62183.981584000001</v>
      </c>
      <c r="C119" s="75">
        <f>' KF OECD Americas'!C5*-1</f>
        <v>69784.754512</v>
      </c>
      <c r="D119" s="75">
        <f>' KF OECD Americas'!D5*-1</f>
        <v>71077.30128</v>
      </c>
      <c r="E119" s="75">
        <f>' KF OECD Americas'!E5*-1</f>
        <v>70142.885727999994</v>
      </c>
      <c r="F119" s="75">
        <f>' KF OECD Americas'!F5*-1</f>
        <v>70762.214479999995</v>
      </c>
      <c r="G119" s="75">
        <f>' KF OECD Americas'!G5*-1</f>
        <v>74357.721248000002</v>
      </c>
      <c r="H119" s="45"/>
      <c r="I119" s="45"/>
    </row>
    <row r="120" spans="1:9" x14ac:dyDescent="0.35">
      <c r="A120" t="s">
        <v>105</v>
      </c>
      <c r="H120" s="45"/>
      <c r="I120" s="45"/>
    </row>
    <row r="121" spans="1:9" x14ac:dyDescent="0.35">
      <c r="A121" t="s">
        <v>106</v>
      </c>
      <c r="H121" s="45"/>
      <c r="I121" s="45"/>
    </row>
    <row r="122" spans="1:9" x14ac:dyDescent="0.35">
      <c r="A122" t="s">
        <v>107</v>
      </c>
      <c r="H122" s="45"/>
      <c r="I122" s="45"/>
    </row>
    <row r="123" spans="1:9" x14ac:dyDescent="0.35">
      <c r="A123" t="s">
        <v>108</v>
      </c>
      <c r="H123" s="45"/>
      <c r="I123" s="45"/>
    </row>
    <row r="124" spans="1:9" x14ac:dyDescent="0.35">
      <c r="A124" t="s">
        <v>109</v>
      </c>
      <c r="H124" s="45"/>
      <c r="I124" s="45"/>
    </row>
    <row r="125" spans="1:9" x14ac:dyDescent="0.35">
      <c r="A125" t="s">
        <v>110</v>
      </c>
      <c r="H125" s="45"/>
      <c r="I125" s="45"/>
    </row>
    <row r="126" spans="1:9" x14ac:dyDescent="0.35">
      <c r="A126" t="s">
        <v>111</v>
      </c>
      <c r="H126" s="45"/>
      <c r="I126" s="45"/>
    </row>
    <row r="127" spans="1:9" x14ac:dyDescent="0.35">
      <c r="A127" t="s">
        <v>112</v>
      </c>
      <c r="H127" s="45"/>
      <c r="I127" s="45"/>
    </row>
    <row r="128" spans="1:9" x14ac:dyDescent="0.35">
      <c r="A128" s="98" t="s">
        <v>113</v>
      </c>
      <c r="H128" s="45"/>
      <c r="I128" s="45"/>
    </row>
    <row r="130" spans="1:9" x14ac:dyDescent="0.35">
      <c r="A130" s="96" t="s">
        <v>126</v>
      </c>
    </row>
    <row r="131" spans="1:9" x14ac:dyDescent="0.35">
      <c r="A131" t="s">
        <v>116</v>
      </c>
      <c r="B131" s="75">
        <f>' KF OECD Europe'!B5*-1</f>
        <v>44459.815216000003</v>
      </c>
      <c r="C131" s="75">
        <f>' KF OECD Europe'!C5*-1</f>
        <v>46913.346927999999</v>
      </c>
      <c r="D131" s="75">
        <f>' KF OECD Europe'!D5*-1</f>
        <v>49588.297775999999</v>
      </c>
      <c r="E131" s="75">
        <f>' KF OECD Europe'!E5*-1</f>
        <v>49241.639488000001</v>
      </c>
      <c r="F131" s="75">
        <f>' KF OECD Europe'!F5*-1</f>
        <v>46504.09</v>
      </c>
      <c r="G131" s="75">
        <f>' KF OECD Europe'!G5*-1</f>
        <v>48074.08064</v>
      </c>
      <c r="H131" s="45"/>
      <c r="I131" s="45"/>
    </row>
    <row r="132" spans="1:9" x14ac:dyDescent="0.35">
      <c r="A132" t="s">
        <v>105</v>
      </c>
      <c r="H132" s="45"/>
      <c r="I132" s="45"/>
    </row>
    <row r="133" spans="1:9" x14ac:dyDescent="0.35">
      <c r="A133" t="s">
        <v>106</v>
      </c>
      <c r="H133" s="45"/>
      <c r="I133" s="45"/>
    </row>
    <row r="134" spans="1:9" x14ac:dyDescent="0.35">
      <c r="A134" t="s">
        <v>107</v>
      </c>
      <c r="H134" s="45"/>
      <c r="I134" s="45"/>
    </row>
    <row r="135" spans="1:9" x14ac:dyDescent="0.35">
      <c r="A135" t="s">
        <v>108</v>
      </c>
      <c r="H135" s="45"/>
      <c r="I135" s="45"/>
    </row>
    <row r="136" spans="1:9" x14ac:dyDescent="0.35">
      <c r="A136" t="s">
        <v>109</v>
      </c>
      <c r="H136" s="45"/>
      <c r="I136" s="45"/>
    </row>
    <row r="137" spans="1:9" x14ac:dyDescent="0.35">
      <c r="A137" t="s">
        <v>110</v>
      </c>
      <c r="H137" s="45"/>
      <c r="I137" s="45"/>
    </row>
    <row r="138" spans="1:9" x14ac:dyDescent="0.35">
      <c r="A138" t="s">
        <v>111</v>
      </c>
      <c r="H138" s="45"/>
      <c r="I138" s="45"/>
    </row>
    <row r="139" spans="1:9" x14ac:dyDescent="0.35">
      <c r="A139" t="s">
        <v>112</v>
      </c>
      <c r="H139" s="45"/>
      <c r="I139" s="45"/>
    </row>
    <row r="140" spans="1:9" x14ac:dyDescent="0.35">
      <c r="A140" s="98" t="s">
        <v>113</v>
      </c>
      <c r="H140" s="45"/>
      <c r="I140" s="45"/>
    </row>
    <row r="142" spans="1:9" x14ac:dyDescent="0.35">
      <c r="A142" s="96" t="s">
        <v>127</v>
      </c>
    </row>
    <row r="143" spans="1:9" x14ac:dyDescent="0.35">
      <c r="A143" t="s">
        <v>116</v>
      </c>
      <c r="B143" s="75">
        <f>' KF OECD Asia Oceania'!B5*-1</f>
        <v>18982.671200000001</v>
      </c>
      <c r="C143" s="75">
        <f>' KF OECD Asia Oceania'!C5*-1</f>
        <v>20486.587823999998</v>
      </c>
      <c r="D143" s="75">
        <f>' KF OECD Asia Oceania'!D5*-1</f>
        <v>21075.601247999999</v>
      </c>
      <c r="E143" s="75">
        <f>' KF OECD Asia Oceania'!E5*-1</f>
        <v>20742.258256000001</v>
      </c>
      <c r="F143" s="75">
        <f>' KF OECD Asia Oceania'!F5*-1</f>
        <v>20288.072671999998</v>
      </c>
      <c r="G143" s="75">
        <f>' KF OECD Asia Oceania'!G5*-1</f>
        <v>20301.262352000002</v>
      </c>
      <c r="H143" s="45"/>
      <c r="I143" s="45"/>
    </row>
    <row r="144" spans="1:9" x14ac:dyDescent="0.35">
      <c r="A144" t="s">
        <v>105</v>
      </c>
      <c r="H144" s="45"/>
      <c r="I144" s="45"/>
    </row>
    <row r="145" spans="1:9" x14ac:dyDescent="0.35">
      <c r="A145" t="s">
        <v>106</v>
      </c>
      <c r="H145" s="45"/>
      <c r="I145" s="45"/>
    </row>
    <row r="146" spans="1:9" x14ac:dyDescent="0.35">
      <c r="A146" t="s">
        <v>107</v>
      </c>
      <c r="H146" s="45"/>
      <c r="I146" s="45"/>
    </row>
    <row r="147" spans="1:9" x14ac:dyDescent="0.35">
      <c r="A147" t="s">
        <v>108</v>
      </c>
      <c r="H147" s="45"/>
      <c r="I147" s="45"/>
    </row>
    <row r="148" spans="1:9" x14ac:dyDescent="0.35">
      <c r="A148" t="s">
        <v>109</v>
      </c>
      <c r="H148" s="45"/>
      <c r="I148" s="45"/>
    </row>
    <row r="149" spans="1:9" x14ac:dyDescent="0.35">
      <c r="A149" t="s">
        <v>110</v>
      </c>
      <c r="H149" s="45"/>
      <c r="I149" s="45"/>
    </row>
    <row r="150" spans="1:9" x14ac:dyDescent="0.35">
      <c r="A150" t="s">
        <v>111</v>
      </c>
      <c r="H150" s="45"/>
      <c r="I150" s="45"/>
    </row>
    <row r="151" spans="1:9" x14ac:dyDescent="0.35">
      <c r="A151" t="s">
        <v>112</v>
      </c>
      <c r="H151" s="45"/>
      <c r="I151" s="45"/>
    </row>
    <row r="152" spans="1:9" x14ac:dyDescent="0.35">
      <c r="A152" s="98" t="s">
        <v>113</v>
      </c>
      <c r="H152" s="45"/>
      <c r="I152" s="45"/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Ark31"/>
  <dimension ref="A1:L32"/>
  <sheetViews>
    <sheetView workbookViewId="0">
      <selection activeCell="B3" sqref="B3:M30"/>
    </sheetView>
  </sheetViews>
  <sheetFormatPr defaultRowHeight="14.5" x14ac:dyDescent="0.35"/>
  <cols>
    <col min="1" max="1" width="30" customWidth="1"/>
    <col min="2" max="2" width="11.54296875" customWidth="1"/>
    <col min="3" max="3" width="12" customWidth="1"/>
    <col min="4" max="4" width="14.54296875" customWidth="1"/>
    <col min="5" max="5" width="14.1796875" customWidth="1"/>
    <col min="8" max="8" width="22.81640625" customWidth="1"/>
    <col min="9" max="9" width="21.81640625" customWidth="1"/>
    <col min="10" max="10" width="13.81640625" customWidth="1"/>
    <col min="11" max="11" width="12.26953125" customWidth="1"/>
    <col min="12" max="12" width="11.81640625" customWidth="1"/>
  </cols>
  <sheetData>
    <row r="1" spans="1:12" x14ac:dyDescent="0.35">
      <c r="B1" t="s">
        <v>214</v>
      </c>
      <c r="C1" t="s">
        <v>2</v>
      </c>
      <c r="D1" t="s">
        <v>215</v>
      </c>
      <c r="E1" t="s">
        <v>216</v>
      </c>
      <c r="F1" t="s">
        <v>5</v>
      </c>
      <c r="G1" t="s">
        <v>6</v>
      </c>
      <c r="H1" t="s">
        <v>217</v>
      </c>
      <c r="I1" t="s">
        <v>8</v>
      </c>
      <c r="J1" t="s">
        <v>9</v>
      </c>
      <c r="K1" t="s">
        <v>10</v>
      </c>
      <c r="L1" t="s">
        <v>218</v>
      </c>
    </row>
    <row r="2" spans="1:12" x14ac:dyDescent="0.35">
      <c r="B2" t="s">
        <v>219</v>
      </c>
      <c r="C2" t="s">
        <v>219</v>
      </c>
      <c r="D2" t="s">
        <v>219</v>
      </c>
      <c r="E2" t="s">
        <v>219</v>
      </c>
      <c r="F2" t="s">
        <v>219</v>
      </c>
      <c r="G2" t="s">
        <v>219</v>
      </c>
      <c r="H2" t="s">
        <v>219</v>
      </c>
      <c r="I2" t="s">
        <v>219</v>
      </c>
      <c r="J2" t="s">
        <v>219</v>
      </c>
      <c r="K2" t="s">
        <v>219</v>
      </c>
      <c r="L2" t="s">
        <v>219</v>
      </c>
    </row>
    <row r="3" spans="1:12" x14ac:dyDescent="0.35">
      <c r="A3" t="s">
        <v>17</v>
      </c>
      <c r="B3" s="7">
        <v>574555</v>
      </c>
      <c r="C3" s="7">
        <v>174732</v>
      </c>
      <c r="D3" s="7"/>
      <c r="E3" s="7">
        <v>263581</v>
      </c>
      <c r="F3" s="7">
        <v>20451</v>
      </c>
      <c r="G3" s="7">
        <v>28290</v>
      </c>
      <c r="H3" s="7">
        <v>32179</v>
      </c>
      <c r="I3" s="7">
        <v>346981</v>
      </c>
      <c r="J3" s="7"/>
      <c r="K3" s="7"/>
      <c r="L3" s="7">
        <v>1440769</v>
      </c>
    </row>
    <row r="4" spans="1:12" x14ac:dyDescent="0.35">
      <c r="A4" t="s">
        <v>220</v>
      </c>
      <c r="B4" s="7">
        <v>210638</v>
      </c>
      <c r="C4" s="7">
        <v>403133</v>
      </c>
      <c r="D4" s="7">
        <v>269939</v>
      </c>
      <c r="E4" s="7">
        <v>64947</v>
      </c>
      <c r="F4" s="7"/>
      <c r="G4" s="7"/>
      <c r="H4" s="7"/>
      <c r="I4" s="7">
        <v>390</v>
      </c>
      <c r="J4" s="7">
        <v>3457</v>
      </c>
      <c r="K4" s="7"/>
      <c r="L4" s="7">
        <v>952502</v>
      </c>
    </row>
    <row r="5" spans="1:12" x14ac:dyDescent="0.35">
      <c r="A5" t="s">
        <v>221</v>
      </c>
      <c r="B5" s="7">
        <v>-232400</v>
      </c>
      <c r="C5" s="7">
        <v>-56500</v>
      </c>
      <c r="D5" s="7">
        <v>-204793</v>
      </c>
      <c r="E5" s="7">
        <v>-81057</v>
      </c>
      <c r="F5" s="7"/>
      <c r="G5" s="7"/>
      <c r="H5" s="7"/>
      <c r="I5" s="7">
        <v>-881</v>
      </c>
      <c r="J5" s="7">
        <v>-2197</v>
      </c>
      <c r="K5" s="7"/>
      <c r="L5" s="7">
        <v>-577827</v>
      </c>
    </row>
    <row r="6" spans="1:12" x14ac:dyDescent="0.35">
      <c r="A6" t="s">
        <v>222</v>
      </c>
      <c r="B6" s="7"/>
      <c r="C6" s="7"/>
      <c r="D6" s="7">
        <v>-48937</v>
      </c>
      <c r="E6" s="7"/>
      <c r="F6" s="7"/>
      <c r="G6" s="7"/>
      <c r="H6" s="7"/>
      <c r="I6" s="7"/>
      <c r="J6" s="7"/>
      <c r="K6" s="7"/>
      <c r="L6" s="7">
        <v>-48937</v>
      </c>
    </row>
    <row r="7" spans="1:12" x14ac:dyDescent="0.35">
      <c r="A7" t="s">
        <v>223</v>
      </c>
      <c r="B7" s="7"/>
      <c r="C7" s="7"/>
      <c r="D7" s="7">
        <v>-25453</v>
      </c>
      <c r="E7" s="7"/>
      <c r="F7" s="7"/>
      <c r="G7" s="7"/>
      <c r="H7" s="7"/>
      <c r="I7" s="7"/>
      <c r="J7" s="7"/>
      <c r="K7" s="7"/>
      <c r="L7" s="7">
        <v>-25453</v>
      </c>
    </row>
    <row r="8" spans="1:12" x14ac:dyDescent="0.35">
      <c r="A8" t="s">
        <v>224</v>
      </c>
      <c r="B8" s="7">
        <v>-4644</v>
      </c>
      <c r="C8" s="7">
        <v>3124</v>
      </c>
      <c r="D8" s="7">
        <v>-1409</v>
      </c>
      <c r="E8" s="7">
        <v>-86</v>
      </c>
      <c r="F8" s="7"/>
      <c r="G8" s="7"/>
      <c r="H8" s="7"/>
      <c r="I8" s="7">
        <v>-88</v>
      </c>
      <c r="J8" s="7"/>
      <c r="K8" s="7"/>
      <c r="L8" s="7">
        <v>-3102</v>
      </c>
    </row>
    <row r="9" spans="1:12" x14ac:dyDescent="0.35">
      <c r="A9" t="s">
        <v>225</v>
      </c>
      <c r="B9" s="7">
        <v>548149</v>
      </c>
      <c r="C9" s="7">
        <v>524489</v>
      </c>
      <c r="D9" s="7">
        <v>-10654</v>
      </c>
      <c r="E9" s="7">
        <v>247386</v>
      </c>
      <c r="F9" s="7">
        <v>20451</v>
      </c>
      <c r="G9" s="7">
        <v>28290</v>
      </c>
      <c r="H9" s="7">
        <v>32179</v>
      </c>
      <c r="I9" s="7">
        <v>346401</v>
      </c>
      <c r="J9" s="7">
        <v>1260</v>
      </c>
      <c r="K9" s="7"/>
      <c r="L9" s="7">
        <v>1737952</v>
      </c>
    </row>
    <row r="10" spans="1:12" x14ac:dyDescent="0.35">
      <c r="A10" t="s">
        <v>226</v>
      </c>
      <c r="B10" s="7"/>
      <c r="C10" s="7">
        <v>-1816</v>
      </c>
      <c r="D10" s="7">
        <v>1828</v>
      </c>
      <c r="E10" s="7"/>
      <c r="F10" s="7"/>
      <c r="G10" s="7"/>
      <c r="H10" s="7"/>
      <c r="I10" s="7">
        <v>-27</v>
      </c>
      <c r="J10" s="7"/>
      <c r="K10" s="7"/>
      <c r="L10" s="7">
        <v>-15</v>
      </c>
    </row>
    <row r="11" spans="1:12" x14ac:dyDescent="0.35">
      <c r="A11" t="s">
        <v>227</v>
      </c>
      <c r="B11" s="7">
        <v>-8114</v>
      </c>
      <c r="C11" s="7">
        <v>-7926</v>
      </c>
      <c r="D11" s="7">
        <v>8062</v>
      </c>
      <c r="E11" s="7">
        <v>3512</v>
      </c>
      <c r="F11" s="7"/>
      <c r="G11" s="7"/>
      <c r="H11" s="7"/>
      <c r="I11" s="7">
        <v>-93</v>
      </c>
      <c r="J11" s="7">
        <v>-302</v>
      </c>
      <c r="K11" s="7">
        <v>-1</v>
      </c>
      <c r="L11" s="7">
        <v>-4863</v>
      </c>
    </row>
    <row r="12" spans="1:12" x14ac:dyDescent="0.35">
      <c r="A12" t="s">
        <v>228</v>
      </c>
      <c r="B12" s="7">
        <v>-353645</v>
      </c>
      <c r="C12" s="7"/>
      <c r="D12" s="7">
        <v>-27024</v>
      </c>
      <c r="E12" s="7">
        <v>-119991</v>
      </c>
      <c r="F12" s="7">
        <v>-20451</v>
      </c>
      <c r="G12" s="7">
        <v>-28290</v>
      </c>
      <c r="H12" s="7">
        <v>-31406</v>
      </c>
      <c r="I12" s="7">
        <v>-21034</v>
      </c>
      <c r="J12" s="7">
        <v>231296</v>
      </c>
      <c r="K12" s="7"/>
      <c r="L12" s="7">
        <v>-370545</v>
      </c>
    </row>
    <row r="13" spans="1:12" x14ac:dyDescent="0.35">
      <c r="A13" t="s">
        <v>66</v>
      </c>
      <c r="B13" s="7">
        <v>-11162</v>
      </c>
      <c r="C13" s="7"/>
      <c r="D13" s="7">
        <v>-317</v>
      </c>
      <c r="E13" s="7">
        <v>-204</v>
      </c>
      <c r="F13" s="7"/>
      <c r="G13" s="7"/>
      <c r="H13" s="7"/>
      <c r="I13" s="7">
        <v>-1113</v>
      </c>
      <c r="J13" s="7">
        <v>3857</v>
      </c>
      <c r="K13" s="7">
        <v>2720</v>
      </c>
      <c r="L13" s="7">
        <v>-6219</v>
      </c>
    </row>
    <row r="14" spans="1:12" x14ac:dyDescent="0.35">
      <c r="A14" t="s">
        <v>229</v>
      </c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</row>
    <row r="15" spans="1:12" x14ac:dyDescent="0.35">
      <c r="A15" t="s">
        <v>230</v>
      </c>
      <c r="B15" s="7">
        <v>-20</v>
      </c>
      <c r="C15" s="7"/>
      <c r="D15" s="7"/>
      <c r="E15" s="7"/>
      <c r="F15" s="7"/>
      <c r="G15" s="7"/>
      <c r="H15" s="7"/>
      <c r="I15" s="7"/>
      <c r="J15" s="7"/>
      <c r="K15" s="7"/>
      <c r="L15" s="7">
        <v>-20</v>
      </c>
    </row>
    <row r="16" spans="1:12" x14ac:dyDescent="0.35">
      <c r="A16" t="s">
        <v>70</v>
      </c>
      <c r="B16" s="7"/>
      <c r="C16" s="7">
        <v>-512709</v>
      </c>
      <c r="D16" s="7">
        <v>502189</v>
      </c>
      <c r="E16" s="7"/>
      <c r="F16" s="7"/>
      <c r="G16" s="7"/>
      <c r="H16" s="7"/>
      <c r="I16" s="7"/>
      <c r="J16" s="7"/>
      <c r="K16" s="7"/>
      <c r="L16" s="7">
        <v>-10519</v>
      </c>
    </row>
    <row r="17" spans="1:12" x14ac:dyDescent="0.35">
      <c r="A17" t="s">
        <v>231</v>
      </c>
      <c r="B17" s="7">
        <v>-20105</v>
      </c>
      <c r="C17" s="7"/>
      <c r="D17" s="7"/>
      <c r="E17" s="7"/>
      <c r="F17" s="7"/>
      <c r="G17" s="7"/>
      <c r="H17" s="7"/>
      <c r="I17" s="7"/>
      <c r="J17" s="7"/>
      <c r="K17" s="7"/>
      <c r="L17" s="7">
        <v>-20105</v>
      </c>
    </row>
    <row r="18" spans="1:12" x14ac:dyDescent="0.35">
      <c r="A18" t="s">
        <v>232</v>
      </c>
      <c r="B18" s="7"/>
      <c r="C18" s="7">
        <v>465</v>
      </c>
      <c r="D18" s="7"/>
      <c r="E18" s="7">
        <v>-862</v>
      </c>
      <c r="F18" s="7"/>
      <c r="G18" s="7"/>
      <c r="H18" s="7"/>
      <c r="I18" s="7"/>
      <c r="J18" s="7"/>
      <c r="K18" s="7"/>
      <c r="L18" s="7">
        <v>-397</v>
      </c>
    </row>
    <row r="19" spans="1:12" x14ac:dyDescent="0.35">
      <c r="A19" t="s">
        <v>233</v>
      </c>
      <c r="B19" s="7"/>
      <c r="C19" s="7"/>
      <c r="D19" s="7"/>
      <c r="E19" s="7"/>
      <c r="F19" s="7"/>
      <c r="G19" s="7"/>
      <c r="H19" s="7"/>
      <c r="I19" s="7">
        <v>-15380</v>
      </c>
      <c r="J19" s="7"/>
      <c r="K19" s="7"/>
      <c r="L19" s="7">
        <v>-15380</v>
      </c>
    </row>
    <row r="20" spans="1:12" x14ac:dyDescent="0.35">
      <c r="A20" t="s">
        <v>234</v>
      </c>
      <c r="B20" s="7">
        <v>-2633</v>
      </c>
      <c r="C20" s="7">
        <v>-628</v>
      </c>
      <c r="D20" s="7">
        <v>-22168</v>
      </c>
      <c r="E20" s="7">
        <v>-29608</v>
      </c>
      <c r="F20" s="7"/>
      <c r="G20" s="7"/>
      <c r="H20" s="7"/>
      <c r="I20" s="7"/>
      <c r="J20" s="7">
        <v>-13587</v>
      </c>
      <c r="K20" s="7">
        <v>-495</v>
      </c>
      <c r="L20" s="7">
        <v>-69119</v>
      </c>
    </row>
    <row r="21" spans="1:12" x14ac:dyDescent="0.35">
      <c r="A21" t="s">
        <v>235</v>
      </c>
      <c r="B21" s="7">
        <v>-249</v>
      </c>
      <c r="C21" s="7">
        <v>-200</v>
      </c>
      <c r="D21" s="7"/>
      <c r="E21" s="7">
        <v>-4800</v>
      </c>
      <c r="F21" s="7"/>
      <c r="G21" s="7"/>
      <c r="H21" s="7"/>
      <c r="I21" s="7"/>
      <c r="J21" s="7">
        <v>-30216</v>
      </c>
      <c r="K21" s="7">
        <v>-33</v>
      </c>
      <c r="L21" s="7">
        <v>-35497</v>
      </c>
    </row>
    <row r="22" spans="1:12" x14ac:dyDescent="0.35">
      <c r="A22" t="s">
        <v>131</v>
      </c>
      <c r="B22" s="7">
        <v>152220</v>
      </c>
      <c r="C22" s="7">
        <v>1674</v>
      </c>
      <c r="D22" s="7">
        <v>451917</v>
      </c>
      <c r="E22" s="7">
        <v>95433</v>
      </c>
      <c r="F22" s="7"/>
      <c r="G22" s="7"/>
      <c r="H22" s="7">
        <v>773</v>
      </c>
      <c r="I22" s="7">
        <v>308754</v>
      </c>
      <c r="J22" s="7">
        <v>192308</v>
      </c>
      <c r="K22" s="7">
        <v>2191</v>
      </c>
      <c r="L22" s="7">
        <v>1205271</v>
      </c>
    </row>
    <row r="23" spans="1:12" x14ac:dyDescent="0.35">
      <c r="A23" t="s">
        <v>80</v>
      </c>
      <c r="B23" s="7">
        <v>137333</v>
      </c>
      <c r="C23" s="7"/>
      <c r="D23" s="7">
        <v>64195</v>
      </c>
      <c r="E23" s="7">
        <v>38794</v>
      </c>
      <c r="F23" s="7"/>
      <c r="G23" s="7"/>
      <c r="H23" s="7">
        <v>40</v>
      </c>
      <c r="I23" s="7">
        <v>63085</v>
      </c>
      <c r="J23" s="7">
        <v>83288</v>
      </c>
      <c r="K23" s="7">
        <v>1456</v>
      </c>
      <c r="L23" s="7">
        <v>388190</v>
      </c>
    </row>
    <row r="24" spans="1:12" x14ac:dyDescent="0.35">
      <c r="A24" t="s">
        <v>82</v>
      </c>
      <c r="B24" s="7">
        <v>16</v>
      </c>
      <c r="C24" s="7"/>
      <c r="D24" s="7">
        <v>227779</v>
      </c>
      <c r="E24" s="7">
        <v>7704</v>
      </c>
      <c r="F24" s="7"/>
      <c r="G24" s="7"/>
      <c r="H24" s="7"/>
      <c r="I24" s="7">
        <v>3237</v>
      </c>
      <c r="J24" s="7">
        <v>1798</v>
      </c>
      <c r="K24" s="7"/>
      <c r="L24" s="7">
        <v>240534</v>
      </c>
    </row>
    <row r="25" spans="1:12" x14ac:dyDescent="0.35">
      <c r="A25" t="s">
        <v>86</v>
      </c>
      <c r="B25" s="7">
        <v>4305</v>
      </c>
      <c r="C25" s="7"/>
      <c r="D25" s="7">
        <v>40846</v>
      </c>
      <c r="E25" s="7">
        <v>10155</v>
      </c>
      <c r="F25" s="7"/>
      <c r="G25" s="7"/>
      <c r="H25" s="7">
        <v>631</v>
      </c>
      <c r="I25" s="7">
        <v>233210</v>
      </c>
      <c r="J25" s="7">
        <v>52477</v>
      </c>
      <c r="K25" s="7">
        <v>404</v>
      </c>
      <c r="L25" s="7">
        <v>342028</v>
      </c>
    </row>
    <row r="26" spans="1:12" x14ac:dyDescent="0.35">
      <c r="A26" t="s">
        <v>88</v>
      </c>
      <c r="B26" s="7">
        <v>4607</v>
      </c>
      <c r="C26" s="7"/>
      <c r="D26" s="7">
        <v>8791</v>
      </c>
      <c r="E26" s="7">
        <v>2789</v>
      </c>
      <c r="F26" s="7"/>
      <c r="G26" s="7"/>
      <c r="H26" s="7">
        <v>68</v>
      </c>
      <c r="I26" s="7">
        <v>8119</v>
      </c>
      <c r="J26" s="7">
        <v>28673</v>
      </c>
      <c r="K26" s="7">
        <v>294</v>
      </c>
      <c r="L26" s="7">
        <v>53341</v>
      </c>
    </row>
    <row r="27" spans="1:12" x14ac:dyDescent="0.35">
      <c r="A27" t="s">
        <v>90</v>
      </c>
      <c r="B27" s="7">
        <v>28</v>
      </c>
      <c r="C27" s="7"/>
      <c r="D27" s="7">
        <v>19369</v>
      </c>
      <c r="E27" s="7">
        <v>182</v>
      </c>
      <c r="F27" s="7"/>
      <c r="G27" s="7"/>
      <c r="H27" s="7"/>
      <c r="I27" s="7">
        <v>320</v>
      </c>
      <c r="J27" s="7">
        <v>16514</v>
      </c>
      <c r="K27" s="7">
        <v>5</v>
      </c>
      <c r="L27" s="7">
        <v>36418</v>
      </c>
    </row>
    <row r="28" spans="1:12" x14ac:dyDescent="0.35">
      <c r="A28" t="s">
        <v>92</v>
      </c>
      <c r="B28" s="7"/>
      <c r="C28" s="7"/>
      <c r="D28" s="7">
        <v>1298</v>
      </c>
      <c r="E28" s="7"/>
      <c r="F28" s="7"/>
      <c r="G28" s="7"/>
      <c r="H28" s="7"/>
      <c r="I28" s="7">
        <v>3</v>
      </c>
      <c r="J28" s="7">
        <v>108</v>
      </c>
      <c r="K28" s="7"/>
      <c r="L28" s="7">
        <v>1409</v>
      </c>
    </row>
    <row r="29" spans="1:12" x14ac:dyDescent="0.35">
      <c r="A29" t="s">
        <v>94</v>
      </c>
      <c r="B29" s="7">
        <v>5633</v>
      </c>
      <c r="C29" s="7"/>
      <c r="D29" s="7">
        <v>7104</v>
      </c>
      <c r="E29" s="7">
        <v>26</v>
      </c>
      <c r="F29" s="7"/>
      <c r="G29" s="7"/>
      <c r="H29" s="7">
        <v>33</v>
      </c>
      <c r="I29" s="7">
        <v>781</v>
      </c>
      <c r="J29" s="7">
        <v>9451</v>
      </c>
      <c r="K29" s="7">
        <v>32</v>
      </c>
      <c r="L29" s="7">
        <v>23059</v>
      </c>
    </row>
    <row r="30" spans="1:12" x14ac:dyDescent="0.35">
      <c r="A30" t="s">
        <v>236</v>
      </c>
      <c r="B30" s="7">
        <v>298</v>
      </c>
      <c r="C30" s="7">
        <v>1674</v>
      </c>
      <c r="D30" s="7">
        <v>82536</v>
      </c>
      <c r="E30" s="7">
        <v>35784</v>
      </c>
      <c r="F30" s="7"/>
      <c r="G30" s="7"/>
      <c r="H30" s="7"/>
      <c r="I30" s="7"/>
      <c r="J30" s="7"/>
      <c r="K30" s="7"/>
      <c r="L30" s="7">
        <v>120293</v>
      </c>
    </row>
    <row r="32" spans="1:12" x14ac:dyDescent="0.35">
      <c r="B32" s="7">
        <f>SUM(B9,B10:B21,B22*-1)</f>
        <v>1</v>
      </c>
      <c r="C32" s="7">
        <f t="shared" ref="C32:L32" si="0">SUM(C9,C10:C21,C22*-1)</f>
        <v>1</v>
      </c>
      <c r="D32" s="7">
        <f t="shared" si="0"/>
        <v>-1</v>
      </c>
      <c r="E32" s="7">
        <f t="shared" si="0"/>
        <v>0</v>
      </c>
      <c r="F32" s="7">
        <f t="shared" si="0"/>
        <v>0</v>
      </c>
      <c r="G32" s="7">
        <f t="shared" si="0"/>
        <v>0</v>
      </c>
      <c r="H32" s="7">
        <f t="shared" si="0"/>
        <v>0</v>
      </c>
      <c r="I32" s="7">
        <f t="shared" si="0"/>
        <v>0</v>
      </c>
      <c r="J32" s="7">
        <f t="shared" si="0"/>
        <v>0</v>
      </c>
      <c r="K32" s="7">
        <f t="shared" si="0"/>
        <v>0</v>
      </c>
      <c r="L32" s="7">
        <f t="shared" si="0"/>
        <v>2</v>
      </c>
    </row>
  </sheetData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Ark32"/>
  <dimension ref="A1:L32"/>
  <sheetViews>
    <sheetView workbookViewId="0">
      <selection activeCell="P30" sqref="P30"/>
    </sheetView>
  </sheetViews>
  <sheetFormatPr defaultRowHeight="14.5" x14ac:dyDescent="0.35"/>
  <cols>
    <col min="1" max="1" width="30" customWidth="1"/>
    <col min="2" max="2" width="11.54296875" customWidth="1"/>
    <col min="3" max="3" width="12" customWidth="1"/>
    <col min="4" max="4" width="14.54296875" customWidth="1"/>
    <col min="5" max="5" width="14.1796875" customWidth="1"/>
    <col min="8" max="8" width="22.81640625" customWidth="1"/>
    <col min="9" max="9" width="21.81640625" customWidth="1"/>
    <col min="10" max="10" width="13.81640625" customWidth="1"/>
    <col min="11" max="11" width="12.26953125" customWidth="1"/>
    <col min="12" max="12" width="11.81640625" customWidth="1"/>
  </cols>
  <sheetData>
    <row r="1" spans="1:12" x14ac:dyDescent="0.35">
      <c r="B1" t="s">
        <v>214</v>
      </c>
      <c r="C1" t="s">
        <v>2</v>
      </c>
      <c r="D1" t="s">
        <v>215</v>
      </c>
      <c r="E1" t="s">
        <v>216</v>
      </c>
      <c r="F1" t="s">
        <v>5</v>
      </c>
      <c r="G1" t="s">
        <v>6</v>
      </c>
      <c r="H1" t="s">
        <v>217</v>
      </c>
      <c r="I1" t="s">
        <v>8</v>
      </c>
      <c r="J1" t="s">
        <v>9</v>
      </c>
      <c r="K1" t="s">
        <v>10</v>
      </c>
      <c r="L1" t="s">
        <v>218</v>
      </c>
    </row>
    <row r="2" spans="1:12" x14ac:dyDescent="0.35">
      <c r="B2" t="s">
        <v>219</v>
      </c>
      <c r="C2" t="s">
        <v>219</v>
      </c>
      <c r="D2" t="s">
        <v>219</v>
      </c>
      <c r="E2" t="s">
        <v>219</v>
      </c>
      <c r="F2" t="s">
        <v>219</v>
      </c>
      <c r="G2" t="s">
        <v>219</v>
      </c>
      <c r="H2" t="s">
        <v>219</v>
      </c>
      <c r="I2" t="s">
        <v>219</v>
      </c>
      <c r="J2" t="s">
        <v>219</v>
      </c>
      <c r="K2" t="s">
        <v>219</v>
      </c>
      <c r="L2" t="s">
        <v>219</v>
      </c>
    </row>
    <row r="3" spans="1:12" x14ac:dyDescent="0.35">
      <c r="A3" t="s">
        <v>17</v>
      </c>
      <c r="B3" s="7">
        <v>656356</v>
      </c>
      <c r="C3" s="7">
        <v>163312</v>
      </c>
      <c r="D3" s="7"/>
      <c r="E3" s="7">
        <v>257962</v>
      </c>
      <c r="F3" s="7">
        <v>19790</v>
      </c>
      <c r="G3" s="7">
        <v>36038</v>
      </c>
      <c r="H3" s="7">
        <v>44854</v>
      </c>
      <c r="I3" s="7">
        <v>348831</v>
      </c>
      <c r="J3" s="7"/>
      <c r="K3" s="7"/>
      <c r="L3" s="7">
        <v>1527144</v>
      </c>
    </row>
    <row r="4" spans="1:12" x14ac:dyDescent="0.35">
      <c r="A4" t="s">
        <v>220</v>
      </c>
      <c r="B4" s="7">
        <v>246070</v>
      </c>
      <c r="C4" s="7">
        <v>447880</v>
      </c>
      <c r="D4" s="7">
        <v>291067</v>
      </c>
      <c r="E4" s="7">
        <v>82199</v>
      </c>
      <c r="F4" s="7"/>
      <c r="G4" s="7"/>
      <c r="H4" s="7"/>
      <c r="I4" s="7">
        <v>413</v>
      </c>
      <c r="J4" s="7">
        <v>4745</v>
      </c>
      <c r="K4" s="7"/>
      <c r="L4" s="7">
        <v>1072375</v>
      </c>
    </row>
    <row r="5" spans="1:12" x14ac:dyDescent="0.35">
      <c r="A5" t="s">
        <v>221</v>
      </c>
      <c r="B5" s="7">
        <v>-262799</v>
      </c>
      <c r="C5" s="7">
        <v>-42631</v>
      </c>
      <c r="D5" s="7">
        <v>-206240</v>
      </c>
      <c r="E5" s="7">
        <v>-76506</v>
      </c>
      <c r="F5" s="7"/>
      <c r="G5" s="7"/>
      <c r="H5" s="7"/>
      <c r="I5" s="7">
        <v>-2265</v>
      </c>
      <c r="J5" s="7">
        <v>-4047</v>
      </c>
      <c r="K5" s="7"/>
      <c r="L5" s="7">
        <v>-594489</v>
      </c>
    </row>
    <row r="6" spans="1:12" x14ac:dyDescent="0.35">
      <c r="A6" t="s">
        <v>222</v>
      </c>
      <c r="B6" s="7"/>
      <c r="C6" s="7"/>
      <c r="D6" s="7">
        <v>-54316</v>
      </c>
      <c r="E6" s="7"/>
      <c r="F6" s="7"/>
      <c r="G6" s="7"/>
      <c r="H6" s="7"/>
      <c r="I6" s="7"/>
      <c r="J6" s="7"/>
      <c r="K6" s="7"/>
      <c r="L6" s="7">
        <v>-54316</v>
      </c>
    </row>
    <row r="7" spans="1:12" x14ac:dyDescent="0.35">
      <c r="A7" t="s">
        <v>223</v>
      </c>
      <c r="B7" s="7"/>
      <c r="C7" s="7"/>
      <c r="D7" s="7">
        <v>-30404</v>
      </c>
      <c r="E7" s="7"/>
      <c r="F7" s="7"/>
      <c r="G7" s="7"/>
      <c r="H7" s="7"/>
      <c r="I7" s="7"/>
      <c r="J7" s="7"/>
      <c r="K7" s="7"/>
      <c r="L7" s="7">
        <v>-30404</v>
      </c>
    </row>
    <row r="8" spans="1:12" x14ac:dyDescent="0.35">
      <c r="A8" t="s">
        <v>224</v>
      </c>
      <c r="B8" s="7">
        <v>334</v>
      </c>
      <c r="C8" s="7">
        <v>4643</v>
      </c>
      <c r="D8" s="7">
        <v>-350</v>
      </c>
      <c r="E8" s="7">
        <v>-179</v>
      </c>
      <c r="F8" s="7"/>
      <c r="G8" s="7"/>
      <c r="H8" s="7"/>
      <c r="I8" s="7">
        <v>269</v>
      </c>
      <c r="J8" s="7"/>
      <c r="K8" s="7"/>
      <c r="L8" s="7">
        <v>4716</v>
      </c>
    </row>
    <row r="9" spans="1:12" x14ac:dyDescent="0.35">
      <c r="A9" t="s">
        <v>225</v>
      </c>
      <c r="B9" s="7">
        <v>639961</v>
      </c>
      <c r="C9" s="7">
        <v>573204</v>
      </c>
      <c r="D9" s="7">
        <v>-243</v>
      </c>
      <c r="E9" s="7">
        <v>263476</v>
      </c>
      <c r="F9" s="7">
        <v>19790</v>
      </c>
      <c r="G9" s="7">
        <v>36038</v>
      </c>
      <c r="H9" s="7">
        <v>44854</v>
      </c>
      <c r="I9" s="7">
        <v>347248</v>
      </c>
      <c r="J9" s="7">
        <v>698</v>
      </c>
      <c r="K9" s="7"/>
      <c r="L9" s="7">
        <v>1925025</v>
      </c>
    </row>
    <row r="10" spans="1:12" x14ac:dyDescent="0.35">
      <c r="A10" t="s">
        <v>226</v>
      </c>
      <c r="B10" s="7"/>
      <c r="C10" s="7">
        <v>-3259</v>
      </c>
      <c r="D10" s="7">
        <v>3426</v>
      </c>
      <c r="E10" s="7"/>
      <c r="F10" s="7"/>
      <c r="G10" s="7"/>
      <c r="H10" s="7"/>
      <c r="I10" s="7"/>
      <c r="J10" s="7"/>
      <c r="K10" s="7"/>
      <c r="L10" s="7">
        <v>167</v>
      </c>
    </row>
    <row r="11" spans="1:12" x14ac:dyDescent="0.35">
      <c r="A11" t="s">
        <v>227</v>
      </c>
      <c r="B11" s="7">
        <v>-9687</v>
      </c>
      <c r="C11" s="7">
        <v>-11187</v>
      </c>
      <c r="D11" s="7">
        <v>8395</v>
      </c>
      <c r="E11" s="7">
        <v>6776</v>
      </c>
      <c r="F11" s="7"/>
      <c r="G11" s="7"/>
      <c r="H11" s="7"/>
      <c r="I11" s="7">
        <v>-29</v>
      </c>
      <c r="J11" s="7">
        <v>-2190</v>
      </c>
      <c r="K11" s="7">
        <v>-76</v>
      </c>
      <c r="L11" s="7">
        <v>-7998</v>
      </c>
    </row>
    <row r="12" spans="1:12" x14ac:dyDescent="0.35">
      <c r="A12" t="s">
        <v>228</v>
      </c>
      <c r="B12" s="7">
        <v>-423080</v>
      </c>
      <c r="C12" s="7"/>
      <c r="D12" s="7">
        <v>-25565</v>
      </c>
      <c r="E12" s="7">
        <v>-124180</v>
      </c>
      <c r="F12" s="7">
        <v>-19790</v>
      </c>
      <c r="G12" s="7">
        <v>-36038</v>
      </c>
      <c r="H12" s="7">
        <v>-43746</v>
      </c>
      <c r="I12" s="7">
        <v>-41939</v>
      </c>
      <c r="J12" s="7">
        <v>275110</v>
      </c>
      <c r="K12" s="7"/>
      <c r="L12" s="7">
        <v>-439228</v>
      </c>
    </row>
    <row r="13" spans="1:12" x14ac:dyDescent="0.35">
      <c r="A13" t="s">
        <v>66</v>
      </c>
      <c r="B13" s="7">
        <v>-11889</v>
      </c>
      <c r="C13" s="7"/>
      <c r="D13" s="7">
        <v>-466</v>
      </c>
      <c r="E13" s="7">
        <v>-210</v>
      </c>
      <c r="F13" s="7"/>
      <c r="G13" s="7"/>
      <c r="H13" s="7"/>
      <c r="I13" s="7">
        <v>-1102</v>
      </c>
      <c r="J13" s="7">
        <v>4053</v>
      </c>
      <c r="K13" s="7">
        <v>3574</v>
      </c>
      <c r="L13" s="7">
        <v>-6040</v>
      </c>
    </row>
    <row r="14" spans="1:12" x14ac:dyDescent="0.35">
      <c r="A14" t="s">
        <v>229</v>
      </c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</row>
    <row r="15" spans="1:12" x14ac:dyDescent="0.35">
      <c r="A15" t="s">
        <v>230</v>
      </c>
      <c r="B15" s="7">
        <v>-22</v>
      </c>
      <c r="C15" s="7"/>
      <c r="D15" s="7"/>
      <c r="E15" s="7"/>
      <c r="F15" s="7"/>
      <c r="G15" s="7"/>
      <c r="H15" s="7"/>
      <c r="I15" s="7"/>
      <c r="J15" s="7"/>
      <c r="K15" s="7"/>
      <c r="L15" s="7">
        <v>-22</v>
      </c>
    </row>
    <row r="16" spans="1:12" x14ac:dyDescent="0.35">
      <c r="A16" t="s">
        <v>70</v>
      </c>
      <c r="B16" s="7"/>
      <c r="C16" s="7">
        <v>-556307</v>
      </c>
      <c r="D16" s="7">
        <v>546766</v>
      </c>
      <c r="E16" s="7"/>
      <c r="F16" s="7"/>
      <c r="G16" s="7"/>
      <c r="H16" s="7"/>
      <c r="I16" s="7"/>
      <c r="J16" s="7"/>
      <c r="K16" s="7"/>
      <c r="L16" s="7">
        <v>-9541</v>
      </c>
    </row>
    <row r="17" spans="1:12" x14ac:dyDescent="0.35">
      <c r="A17" t="s">
        <v>231</v>
      </c>
      <c r="B17" s="7">
        <v>-24450</v>
      </c>
      <c r="C17" s="7"/>
      <c r="D17" s="7"/>
      <c r="E17" s="7"/>
      <c r="F17" s="7"/>
      <c r="G17" s="7"/>
      <c r="H17" s="7"/>
      <c r="I17" s="7"/>
      <c r="J17" s="7"/>
      <c r="K17" s="7"/>
      <c r="L17" s="7">
        <v>-24450</v>
      </c>
    </row>
    <row r="18" spans="1:12" x14ac:dyDescent="0.35">
      <c r="A18" t="s">
        <v>232</v>
      </c>
      <c r="B18" s="7"/>
      <c r="C18" s="7">
        <v>544</v>
      </c>
      <c r="D18" s="7"/>
      <c r="E18" s="7">
        <v>-1103</v>
      </c>
      <c r="F18" s="7"/>
      <c r="G18" s="7"/>
      <c r="H18" s="7"/>
      <c r="I18" s="7"/>
      <c r="J18" s="7"/>
      <c r="K18" s="7"/>
      <c r="L18" s="7">
        <v>-559</v>
      </c>
    </row>
    <row r="19" spans="1:12" x14ac:dyDescent="0.35">
      <c r="A19" t="s">
        <v>233</v>
      </c>
      <c r="B19" s="7"/>
      <c r="C19" s="7"/>
      <c r="D19" s="7"/>
      <c r="E19" s="7"/>
      <c r="F19" s="7"/>
      <c r="G19" s="7"/>
      <c r="H19" s="7"/>
      <c r="I19" s="7">
        <v>-11957</v>
      </c>
      <c r="J19" s="7"/>
      <c r="K19" s="7"/>
      <c r="L19" s="7">
        <v>-11957</v>
      </c>
    </row>
    <row r="20" spans="1:12" x14ac:dyDescent="0.35">
      <c r="A20" t="s">
        <v>234</v>
      </c>
      <c r="B20" s="7">
        <v>-2924</v>
      </c>
      <c r="C20" s="7">
        <v>-284</v>
      </c>
      <c r="D20" s="7">
        <v>-25004</v>
      </c>
      <c r="E20" s="7">
        <v>-29773</v>
      </c>
      <c r="F20" s="7"/>
      <c r="G20" s="7"/>
      <c r="H20" s="7"/>
      <c r="I20" s="7">
        <v>-17</v>
      </c>
      <c r="J20" s="7">
        <v>-14826</v>
      </c>
      <c r="K20" s="7">
        <v>-570</v>
      </c>
      <c r="L20" s="7">
        <v>-73397</v>
      </c>
    </row>
    <row r="21" spans="1:12" x14ac:dyDescent="0.35">
      <c r="A21" t="s">
        <v>235</v>
      </c>
      <c r="B21" s="7">
        <v>-351</v>
      </c>
      <c r="C21" s="7">
        <v>-212</v>
      </c>
      <c r="D21" s="7"/>
      <c r="E21" s="7">
        <v>-2543</v>
      </c>
      <c r="F21" s="7"/>
      <c r="G21" s="7"/>
      <c r="H21" s="7"/>
      <c r="I21" s="7"/>
      <c r="J21" s="7">
        <v>-34176</v>
      </c>
      <c r="K21" s="7">
        <v>-49</v>
      </c>
      <c r="L21" s="7">
        <v>-37330</v>
      </c>
    </row>
    <row r="22" spans="1:12" x14ac:dyDescent="0.35">
      <c r="A22" t="s">
        <v>131</v>
      </c>
      <c r="B22" s="7">
        <v>167557</v>
      </c>
      <c r="C22" s="7">
        <v>2500</v>
      </c>
      <c r="D22" s="7">
        <v>507309</v>
      </c>
      <c r="E22" s="7">
        <v>112443</v>
      </c>
      <c r="F22" s="7"/>
      <c r="G22" s="7"/>
      <c r="H22" s="7">
        <v>1108</v>
      </c>
      <c r="I22" s="7">
        <v>292205</v>
      </c>
      <c r="J22" s="7">
        <v>228669</v>
      </c>
      <c r="K22" s="7">
        <v>2879</v>
      </c>
      <c r="L22" s="7">
        <v>1314670</v>
      </c>
    </row>
    <row r="23" spans="1:12" x14ac:dyDescent="0.35">
      <c r="A23" t="s">
        <v>80</v>
      </c>
      <c r="B23" s="7">
        <v>150980</v>
      </c>
      <c r="C23" s="7"/>
      <c r="D23" s="7">
        <v>63040</v>
      </c>
      <c r="E23" s="7">
        <v>48175</v>
      </c>
      <c r="F23" s="7"/>
      <c r="G23" s="7"/>
      <c r="H23" s="7">
        <v>60</v>
      </c>
      <c r="I23" s="7">
        <v>62672</v>
      </c>
      <c r="J23" s="7">
        <v>99899</v>
      </c>
      <c r="K23" s="7">
        <v>2104</v>
      </c>
      <c r="L23" s="7">
        <v>426932</v>
      </c>
    </row>
    <row r="24" spans="1:12" x14ac:dyDescent="0.35">
      <c r="A24" t="s">
        <v>82</v>
      </c>
      <c r="B24" s="7">
        <v>14</v>
      </c>
      <c r="C24" s="7"/>
      <c r="D24" s="7">
        <v>267297</v>
      </c>
      <c r="E24" s="7">
        <v>8117</v>
      </c>
      <c r="F24" s="7"/>
      <c r="G24" s="7"/>
      <c r="H24" s="7"/>
      <c r="I24" s="7">
        <v>6566</v>
      </c>
      <c r="J24" s="7">
        <v>2036</v>
      </c>
      <c r="K24" s="7"/>
      <c r="L24" s="7">
        <v>284030</v>
      </c>
    </row>
    <row r="25" spans="1:12" x14ac:dyDescent="0.35">
      <c r="A25" t="s">
        <v>86</v>
      </c>
      <c r="B25" s="7">
        <v>4800</v>
      </c>
      <c r="C25" s="7"/>
      <c r="D25" s="7">
        <v>44086</v>
      </c>
      <c r="E25" s="7">
        <v>12078</v>
      </c>
      <c r="F25" s="7"/>
      <c r="G25" s="7"/>
      <c r="H25" s="7">
        <v>895</v>
      </c>
      <c r="I25" s="7">
        <v>213489</v>
      </c>
      <c r="J25" s="7">
        <v>64095</v>
      </c>
      <c r="K25" s="7">
        <v>410</v>
      </c>
      <c r="L25" s="7">
        <v>339854</v>
      </c>
    </row>
    <row r="26" spans="1:12" x14ac:dyDescent="0.35">
      <c r="A26" t="s">
        <v>88</v>
      </c>
      <c r="B26" s="7">
        <v>5319</v>
      </c>
      <c r="C26" s="7"/>
      <c r="D26" s="7">
        <v>10907</v>
      </c>
      <c r="E26" s="7">
        <v>3367</v>
      </c>
      <c r="F26" s="7"/>
      <c r="G26" s="7"/>
      <c r="H26" s="7">
        <v>103</v>
      </c>
      <c r="I26" s="7">
        <v>8350</v>
      </c>
      <c r="J26" s="7">
        <v>34665</v>
      </c>
      <c r="K26" s="7">
        <v>323</v>
      </c>
      <c r="L26" s="7">
        <v>63034</v>
      </c>
    </row>
    <row r="27" spans="1:12" x14ac:dyDescent="0.35">
      <c r="A27" t="s">
        <v>90</v>
      </c>
      <c r="B27" s="7">
        <v>13</v>
      </c>
      <c r="C27" s="7"/>
      <c r="D27" s="7">
        <v>19235</v>
      </c>
      <c r="E27" s="7">
        <v>190</v>
      </c>
      <c r="F27" s="7"/>
      <c r="G27" s="7"/>
      <c r="H27" s="7"/>
      <c r="I27" s="7">
        <v>337</v>
      </c>
      <c r="J27" s="7">
        <v>20418</v>
      </c>
      <c r="K27" s="7">
        <v>5</v>
      </c>
      <c r="L27" s="7">
        <v>40200</v>
      </c>
    </row>
    <row r="28" spans="1:12" x14ac:dyDescent="0.35">
      <c r="A28" t="s">
        <v>92</v>
      </c>
      <c r="B28" s="7"/>
      <c r="C28" s="7"/>
      <c r="D28" s="7">
        <v>1143</v>
      </c>
      <c r="E28" s="7"/>
      <c r="F28" s="7"/>
      <c r="G28" s="7"/>
      <c r="H28" s="7"/>
      <c r="I28" s="7">
        <v>3</v>
      </c>
      <c r="J28" s="7">
        <v>112</v>
      </c>
      <c r="K28" s="7"/>
      <c r="L28" s="7">
        <v>1258</v>
      </c>
    </row>
    <row r="29" spans="1:12" x14ac:dyDescent="0.35">
      <c r="A29" t="s">
        <v>94</v>
      </c>
      <c r="B29" s="7">
        <v>6058</v>
      </c>
      <c r="C29" s="7"/>
      <c r="D29" s="7">
        <v>7069</v>
      </c>
      <c r="E29" s="7">
        <v>51</v>
      </c>
      <c r="F29" s="7"/>
      <c r="G29" s="7"/>
      <c r="H29" s="7">
        <v>50</v>
      </c>
      <c r="I29" s="7">
        <v>788</v>
      </c>
      <c r="J29" s="7">
        <v>7443</v>
      </c>
      <c r="K29" s="7">
        <v>36</v>
      </c>
      <c r="L29" s="7">
        <v>21495</v>
      </c>
    </row>
    <row r="30" spans="1:12" x14ac:dyDescent="0.35">
      <c r="A30" t="s">
        <v>236</v>
      </c>
      <c r="B30" s="7">
        <v>372</v>
      </c>
      <c r="C30" s="7">
        <v>2500</v>
      </c>
      <c r="D30" s="7">
        <v>94531</v>
      </c>
      <c r="E30" s="7">
        <v>40465</v>
      </c>
      <c r="F30" s="7"/>
      <c r="G30" s="7"/>
      <c r="H30" s="7"/>
      <c r="I30" s="7"/>
      <c r="J30" s="7"/>
      <c r="K30" s="7"/>
      <c r="L30" s="7">
        <v>137868</v>
      </c>
    </row>
    <row r="32" spans="1:12" x14ac:dyDescent="0.35">
      <c r="B32" s="7">
        <f>SUM(B9,B10:B21,B22*-1)</f>
        <v>1</v>
      </c>
      <c r="C32" s="7">
        <f t="shared" ref="C32:L32" si="0">SUM(C9,C10:C21,C22*-1)</f>
        <v>-1</v>
      </c>
      <c r="D32" s="7">
        <f t="shared" si="0"/>
        <v>0</v>
      </c>
      <c r="E32" s="7">
        <f t="shared" si="0"/>
        <v>0</v>
      </c>
      <c r="F32" s="7">
        <f t="shared" si="0"/>
        <v>0</v>
      </c>
      <c r="G32" s="7">
        <f t="shared" si="0"/>
        <v>0</v>
      </c>
      <c r="H32" s="7">
        <f t="shared" si="0"/>
        <v>0</v>
      </c>
      <c r="I32" s="7">
        <f t="shared" si="0"/>
        <v>-1</v>
      </c>
      <c r="J32" s="7">
        <f t="shared" si="0"/>
        <v>0</v>
      </c>
      <c r="K32" s="7">
        <f t="shared" si="0"/>
        <v>0</v>
      </c>
      <c r="L32" s="7">
        <f t="shared" si="0"/>
        <v>0</v>
      </c>
    </row>
  </sheetData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Ark33"/>
  <dimension ref="A1:AH30"/>
  <sheetViews>
    <sheetView zoomScale="130" zoomScaleNormal="130" workbookViewId="0">
      <selection activeCell="K11" sqref="K11"/>
    </sheetView>
  </sheetViews>
  <sheetFormatPr defaultRowHeight="14.5" x14ac:dyDescent="0.35"/>
  <cols>
    <col min="3" max="3" width="16.453125" customWidth="1"/>
    <col min="4" max="4" width="12.81640625" customWidth="1"/>
    <col min="5" max="5" width="12.54296875" customWidth="1"/>
    <col min="6" max="6" width="16.54296875" customWidth="1"/>
    <col min="10" max="10" width="12.54296875" customWidth="1"/>
    <col min="11" max="11" width="11.54296875" customWidth="1"/>
    <col min="14" max="14" width="10.81640625" customWidth="1"/>
    <col min="15" max="15" width="51.54296875" customWidth="1"/>
    <col min="16" max="18" width="15.81640625" customWidth="1"/>
    <col min="19" max="19" width="12.81640625" customWidth="1"/>
    <col min="24" max="24" width="14.1796875" bestFit="1" customWidth="1"/>
    <col min="33" max="34" width="11.26953125" customWidth="1"/>
  </cols>
  <sheetData>
    <row r="1" spans="1:34" ht="140" x14ac:dyDescent="0.35">
      <c r="B1" s="44" t="s">
        <v>0</v>
      </c>
      <c r="C1" s="3" t="s">
        <v>1</v>
      </c>
      <c r="D1" s="8" t="s">
        <v>2</v>
      </c>
      <c r="E1" s="2" t="s">
        <v>3</v>
      </c>
      <c r="F1" s="3" t="s">
        <v>4</v>
      </c>
      <c r="G1" s="1" t="s">
        <v>5</v>
      </c>
      <c r="H1" s="1" t="s">
        <v>6</v>
      </c>
      <c r="I1" s="1" t="s">
        <v>7</v>
      </c>
      <c r="J1" s="3" t="s">
        <v>8</v>
      </c>
      <c r="K1" s="2" t="s">
        <v>9</v>
      </c>
      <c r="L1" s="2" t="s">
        <v>10</v>
      </c>
      <c r="M1" s="17" t="s">
        <v>11</v>
      </c>
      <c r="N1" s="5" t="s">
        <v>12</v>
      </c>
      <c r="O1" s="4" t="s">
        <v>260</v>
      </c>
      <c r="P1" s="60"/>
      <c r="Q1" s="60"/>
      <c r="R1" s="12" t="s">
        <v>14</v>
      </c>
      <c r="S1" s="11" t="s">
        <v>15</v>
      </c>
      <c r="T1" s="12" t="s">
        <v>16</v>
      </c>
      <c r="U1" s="44" t="s">
        <v>17</v>
      </c>
      <c r="V1" s="3" t="s">
        <v>1</v>
      </c>
      <c r="W1" s="8" t="s">
        <v>2</v>
      </c>
      <c r="X1" s="9" t="s">
        <v>3</v>
      </c>
      <c r="Y1" s="3" t="s">
        <v>4</v>
      </c>
      <c r="Z1" s="1" t="s">
        <v>5</v>
      </c>
      <c r="AA1" s="1" t="s">
        <v>6</v>
      </c>
      <c r="AB1" s="1" t="s">
        <v>7</v>
      </c>
      <c r="AC1" s="3" t="s">
        <v>8</v>
      </c>
      <c r="AD1" s="2" t="s">
        <v>9</v>
      </c>
      <c r="AE1" s="2" t="s">
        <v>10</v>
      </c>
      <c r="AF1" s="17" t="s">
        <v>11</v>
      </c>
      <c r="AG1" s="13" t="s">
        <v>18</v>
      </c>
      <c r="AH1" s="13" t="s">
        <v>19</v>
      </c>
    </row>
    <row r="2" spans="1:34" ht="24.75" customHeight="1" x14ac:dyDescent="0.35">
      <c r="A2" s="45" t="s">
        <v>20</v>
      </c>
      <c r="B2" s="46" t="s">
        <v>21</v>
      </c>
      <c r="C2" s="46" t="s">
        <v>22</v>
      </c>
      <c r="D2" s="46" t="s">
        <v>23</v>
      </c>
      <c r="E2" s="47" t="s">
        <v>24</v>
      </c>
      <c r="F2" s="46" t="s">
        <v>25</v>
      </c>
      <c r="G2" s="46" t="s">
        <v>26</v>
      </c>
      <c r="H2" s="46" t="s">
        <v>27</v>
      </c>
      <c r="I2" s="46" t="s">
        <v>28</v>
      </c>
      <c r="J2" s="48" t="s">
        <v>29</v>
      </c>
      <c r="K2" s="47" t="s">
        <v>30</v>
      </c>
      <c r="L2" s="49" t="s">
        <v>31</v>
      </c>
      <c r="M2" s="49" t="s">
        <v>32</v>
      </c>
      <c r="N2" s="50" t="s">
        <v>33</v>
      </c>
      <c r="O2" s="51"/>
      <c r="P2" s="52" t="s">
        <v>20</v>
      </c>
      <c r="Q2" s="53" t="s">
        <v>34</v>
      </c>
      <c r="R2" s="50" t="s">
        <v>35</v>
      </c>
      <c r="S2" s="54" t="s">
        <v>36</v>
      </c>
      <c r="T2" s="50" t="s">
        <v>37</v>
      </c>
      <c r="U2" s="46" t="s">
        <v>38</v>
      </c>
      <c r="V2" s="46" t="s">
        <v>39</v>
      </c>
      <c r="W2" s="46" t="s">
        <v>40</v>
      </c>
      <c r="X2" s="47" t="s">
        <v>41</v>
      </c>
      <c r="Y2" s="46" t="s">
        <v>42</v>
      </c>
      <c r="Z2" s="46" t="s">
        <v>43</v>
      </c>
      <c r="AA2" s="46" t="s">
        <v>44</v>
      </c>
      <c r="AB2" s="46" t="s">
        <v>45</v>
      </c>
      <c r="AC2" s="46" t="s">
        <v>46</v>
      </c>
      <c r="AD2" s="47" t="s">
        <v>47</v>
      </c>
      <c r="AE2" s="47" t="s">
        <v>48</v>
      </c>
      <c r="AF2" s="49" t="s">
        <v>49</v>
      </c>
      <c r="AG2" s="46" t="s">
        <v>50</v>
      </c>
      <c r="AH2" s="46" t="s">
        <v>51</v>
      </c>
    </row>
    <row r="3" spans="1:34" ht="24.75" customHeight="1" x14ac:dyDescent="0.35">
      <c r="A3" s="45" t="s">
        <v>34</v>
      </c>
      <c r="B3" s="55"/>
      <c r="C3" s="56" t="s">
        <v>52</v>
      </c>
      <c r="D3" s="56" t="s">
        <v>52</v>
      </c>
      <c r="E3" s="56" t="s">
        <v>21</v>
      </c>
      <c r="F3" s="56" t="s">
        <v>21</v>
      </c>
      <c r="G3" s="56" t="s">
        <v>21</v>
      </c>
      <c r="H3" s="56" t="s">
        <v>52</v>
      </c>
      <c r="I3" s="56" t="s">
        <v>52</v>
      </c>
      <c r="J3" s="56" t="s">
        <v>21</v>
      </c>
      <c r="K3" s="56" t="s">
        <v>21</v>
      </c>
      <c r="L3" s="57" t="s">
        <v>21</v>
      </c>
      <c r="M3" s="57" t="s">
        <v>21</v>
      </c>
      <c r="N3" s="50"/>
      <c r="O3" s="51" t="s">
        <v>53</v>
      </c>
      <c r="P3" s="52"/>
      <c r="Q3" s="53"/>
      <c r="R3" s="74"/>
      <c r="S3" s="58"/>
      <c r="T3" s="59"/>
      <c r="U3" s="55"/>
      <c r="V3" s="56" t="s">
        <v>38</v>
      </c>
      <c r="W3" s="56" t="s">
        <v>38</v>
      </c>
      <c r="X3" s="56" t="s">
        <v>38</v>
      </c>
      <c r="Y3" s="56" t="s">
        <v>38</v>
      </c>
      <c r="Z3" s="56" t="s">
        <v>38</v>
      </c>
      <c r="AA3" s="56" t="s">
        <v>38</v>
      </c>
      <c r="AB3" s="56" t="s">
        <v>54</v>
      </c>
      <c r="AC3" s="56" t="s">
        <v>38</v>
      </c>
      <c r="AD3" s="56" t="s">
        <v>38</v>
      </c>
      <c r="AE3" s="56" t="s">
        <v>38</v>
      </c>
      <c r="AF3" s="57" t="s">
        <v>38</v>
      </c>
      <c r="AG3" s="56"/>
      <c r="AH3" s="56"/>
    </row>
    <row r="4" spans="1:34" ht="24.75" customHeight="1" x14ac:dyDescent="0.35">
      <c r="A4" s="72" t="s">
        <v>55</v>
      </c>
      <c r="B4" s="72"/>
      <c r="C4" s="56"/>
      <c r="D4" s="56"/>
      <c r="E4" s="56"/>
      <c r="F4" s="56"/>
      <c r="G4" s="56"/>
      <c r="H4" s="56"/>
      <c r="I4" s="56"/>
      <c r="J4" s="56"/>
      <c r="K4" s="56"/>
      <c r="L4" s="57"/>
      <c r="M4" s="57"/>
      <c r="N4" s="50"/>
      <c r="O4" s="51"/>
      <c r="P4" s="73"/>
      <c r="Q4" s="53"/>
      <c r="R4" s="74"/>
      <c r="S4" s="58"/>
      <c r="T4" s="59"/>
      <c r="U4" s="55">
        <f>B4</f>
        <v>0</v>
      </c>
      <c r="V4" s="56"/>
      <c r="W4" s="56"/>
      <c r="X4" s="56"/>
      <c r="Y4" s="56"/>
      <c r="Z4" s="56"/>
      <c r="AA4" s="56"/>
      <c r="AB4" s="56"/>
      <c r="AC4" s="56"/>
      <c r="AD4" s="56"/>
      <c r="AE4" s="56"/>
      <c r="AF4" s="57"/>
      <c r="AG4" s="56">
        <f>U4</f>
        <v>0</v>
      </c>
      <c r="AH4" s="56">
        <f>U4</f>
        <v>0</v>
      </c>
    </row>
    <row r="5" spans="1:34" x14ac:dyDescent="0.35">
      <c r="C5" s="14"/>
      <c r="D5" s="14"/>
      <c r="E5" s="14"/>
      <c r="F5" s="14"/>
      <c r="G5" s="14"/>
      <c r="H5" s="14"/>
      <c r="I5" s="14"/>
      <c r="J5" s="14"/>
      <c r="K5" s="14"/>
      <c r="L5" s="14"/>
      <c r="M5" s="14"/>
      <c r="N5" s="23">
        <f>SUM(C5:M5)</f>
        <v>0</v>
      </c>
      <c r="O5" s="10" t="s">
        <v>56</v>
      </c>
      <c r="P5" s="62" t="s">
        <v>57</v>
      </c>
      <c r="Q5" s="63"/>
      <c r="R5" s="63"/>
      <c r="S5" s="24">
        <f>SUM(V5:AF5)</f>
        <v>20167.123164382174</v>
      </c>
      <c r="T5" s="37"/>
      <c r="U5" s="61"/>
      <c r="V5" s="14">
        <f>-(C6+C5)</f>
        <v>817.40547836425571</v>
      </c>
      <c r="W5" s="14">
        <f>-(D6+D5)</f>
        <v>9399.3126755498433</v>
      </c>
      <c r="X5" s="14"/>
      <c r="Y5" s="14">
        <f>-(F6+F5)</f>
        <v>4902.910364323393</v>
      </c>
      <c r="Z5" s="14">
        <f>-(G6+G5)</f>
        <v>256.67573795574464</v>
      </c>
      <c r="AA5" s="14"/>
      <c r="AB5" s="14"/>
      <c r="AC5" s="14">
        <f>-(J6+J5)</f>
        <v>4790.8189081889377</v>
      </c>
      <c r="AD5" s="14"/>
      <c r="AE5" s="14"/>
      <c r="AF5" s="14"/>
      <c r="AG5" s="14"/>
      <c r="AH5" s="14"/>
    </row>
    <row r="6" spans="1:34" x14ac:dyDescent="0.35">
      <c r="C6" s="14">
        <f>-V6</f>
        <v>-817.40547836425571</v>
      </c>
      <c r="D6" s="14">
        <f>-W6</f>
        <v>-9399.3126755498433</v>
      </c>
      <c r="E6" s="14"/>
      <c r="F6" s="14">
        <f>-Y6</f>
        <v>-4902.910364323393</v>
      </c>
      <c r="G6" s="14">
        <f>-Z6</f>
        <v>-256.67573795574464</v>
      </c>
      <c r="H6" s="14"/>
      <c r="I6" s="14"/>
      <c r="J6" s="14">
        <f>-AC6</f>
        <v>-4790.8189081889377</v>
      </c>
      <c r="K6" s="14"/>
      <c r="L6" s="18"/>
      <c r="M6" s="18"/>
      <c r="N6" s="23">
        <f t="shared" ref="N6:N15" si="0">SUM(C6:M6)</f>
        <v>-20167.123164382174</v>
      </c>
      <c r="O6" s="22" t="s">
        <v>58</v>
      </c>
      <c r="P6" s="65" t="s">
        <v>59</v>
      </c>
      <c r="Q6" s="66"/>
      <c r="R6" s="66"/>
      <c r="S6" s="24">
        <f t="shared" ref="S6:S25" si="1">SUM(V6:AF6)</f>
        <v>20167.123164382174</v>
      </c>
      <c r="T6" s="37"/>
      <c r="U6" s="61"/>
      <c r="V6" s="14">
        <f>-(C16+C8)</f>
        <v>817.40547836425571</v>
      </c>
      <c r="W6" s="14">
        <f>-(D16+D8)</f>
        <v>9399.3126755498433</v>
      </c>
      <c r="X6" s="14"/>
      <c r="Y6" s="14">
        <f>-(F16+F8)</f>
        <v>4902.910364323393</v>
      </c>
      <c r="Z6" s="14">
        <f>-(G16+G8)</f>
        <v>256.67573795574464</v>
      </c>
      <c r="AA6" s="14"/>
      <c r="AB6" s="14"/>
      <c r="AC6" s="14">
        <f>-(J16+J8)</f>
        <v>4790.8189081889377</v>
      </c>
      <c r="AD6" s="14"/>
      <c r="AE6" s="14"/>
      <c r="AF6" s="14"/>
      <c r="AG6" s="21">
        <f>-(N6+S6)</f>
        <v>0</v>
      </c>
      <c r="AH6" s="21"/>
    </row>
    <row r="7" spans="1:34" x14ac:dyDescent="0.35"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23">
        <f t="shared" si="0"/>
        <v>0</v>
      </c>
      <c r="O7" s="22" t="s">
        <v>60</v>
      </c>
      <c r="P7" s="67" t="s">
        <v>61</v>
      </c>
      <c r="Q7" s="66"/>
      <c r="R7" s="66"/>
      <c r="S7" s="24">
        <f t="shared" si="1"/>
        <v>3075.6177421481084</v>
      </c>
      <c r="T7" s="37"/>
      <c r="U7" s="61"/>
      <c r="V7" s="14"/>
      <c r="W7" s="14"/>
      <c r="X7" s="14"/>
      <c r="Y7" s="14"/>
      <c r="Z7" s="16"/>
      <c r="AA7" s="19">
        <f>-H8</f>
        <v>2657.8637778128432</v>
      </c>
      <c r="AB7" s="19">
        <f>-I8</f>
        <v>417.75396433526538</v>
      </c>
      <c r="AC7" s="14"/>
      <c r="AD7" s="14"/>
      <c r="AE7" s="14"/>
      <c r="AF7" s="14"/>
      <c r="AG7" s="14"/>
      <c r="AH7" s="14"/>
    </row>
    <row r="8" spans="1:34" x14ac:dyDescent="0.35">
      <c r="C8" s="14">
        <f>SUM(C9:C13)</f>
        <v>-317.99384066550761</v>
      </c>
      <c r="D8" s="14">
        <f t="shared" ref="D8:M8" si="2">SUM(D9:D13)</f>
        <v>-9350.3220107858906</v>
      </c>
      <c r="E8" s="14">
        <f t="shared" si="2"/>
        <v>-1345.5391126796953</v>
      </c>
      <c r="F8" s="14">
        <f t="shared" si="2"/>
        <v>-2931.2107263805801</v>
      </c>
      <c r="G8" s="14">
        <f t="shared" si="2"/>
        <v>-256.67573795574464</v>
      </c>
      <c r="H8" s="14">
        <f t="shared" si="2"/>
        <v>-2657.8637778128432</v>
      </c>
      <c r="I8" s="14">
        <f t="shared" si="2"/>
        <v>-417.75396433526538</v>
      </c>
      <c r="J8" s="14">
        <f t="shared" si="2"/>
        <v>-817.69034438206972</v>
      </c>
      <c r="K8" s="14">
        <f t="shared" si="2"/>
        <v>-187.92153599999966</v>
      </c>
      <c r="L8" s="14">
        <f t="shared" si="2"/>
        <v>0</v>
      </c>
      <c r="M8" s="14">
        <f t="shared" si="2"/>
        <v>0</v>
      </c>
      <c r="N8" s="23">
        <f t="shared" si="0"/>
        <v>-18282.971050997596</v>
      </c>
      <c r="O8" s="22" t="s">
        <v>62</v>
      </c>
      <c r="P8" s="67" t="s">
        <v>63</v>
      </c>
      <c r="Q8" s="66"/>
      <c r="R8" s="66"/>
      <c r="S8" s="24">
        <f t="shared" si="1"/>
        <v>13401.326528406244</v>
      </c>
      <c r="T8" s="37"/>
      <c r="U8" s="61"/>
      <c r="V8" s="14">
        <f>SUM(V9:V13)</f>
        <v>0</v>
      </c>
      <c r="W8" s="14"/>
      <c r="X8" s="14">
        <f>(E14+E8)*-1</f>
        <v>9015.470255343751</v>
      </c>
      <c r="Y8" s="14"/>
      <c r="Z8" s="14"/>
      <c r="AA8" s="14"/>
      <c r="AB8" s="14"/>
      <c r="AC8" s="14"/>
      <c r="AD8" s="14">
        <f>(K14+K8)*-1</f>
        <v>4385.8562730624917</v>
      </c>
      <c r="AE8" s="14">
        <f>(L14+L8)*-1</f>
        <v>0</v>
      </c>
      <c r="AF8" s="14"/>
      <c r="AG8" s="21">
        <f>-(N8+S8)</f>
        <v>4881.6445225913521</v>
      </c>
      <c r="AH8" s="21">
        <f>SUM(AH9:AH13)</f>
        <v>299.54939883057318</v>
      </c>
    </row>
    <row r="9" spans="1:34" x14ac:dyDescent="0.35">
      <c r="C9" s="26">
        <f>-($AD$9+$H$9+$I$9)/$T$9*' KF Non-OECD Americas'!$I109</f>
        <v>-293.33123266550763</v>
      </c>
      <c r="D9" s="26">
        <f>-($AD$9+$H$9+$I$9)/$T$9*' KF Non-OECD Americas'!$I110</f>
        <v>-92.947861585470264</v>
      </c>
      <c r="E9" s="26">
        <f>-($AD$9+$H$9+$I$9)/$T$9*' KF Non-OECD Americas'!$I111</f>
        <v>-844.08004067969546</v>
      </c>
      <c r="F9" s="26">
        <f>-($AD$9+$H$9+$I$9)/$T$9*' KF Non-OECD Americas'!$I112</f>
        <v>-1947.8468063805803</v>
      </c>
      <c r="G9" s="26">
        <f>-($AD$9+$H$9+$I$9)/$T$9*' KF Non-OECD Americas'!$I113</f>
        <v>-256.67573795574464</v>
      </c>
      <c r="H9" s="26">
        <f>AD9*' KF Non-OECD Americas'!I94*-1</f>
        <v>-2657.8637778128432</v>
      </c>
      <c r="I9" s="26">
        <f>AD9*' KF Non-OECD Americas'!I95*-1</f>
        <v>-417.75396433526538</v>
      </c>
      <c r="J9" s="26">
        <f>-($AD$9+$H$9+$I$9)/$T$9*' KF Non-OECD Americas'!$I114</f>
        <v>-215.61285638206974</v>
      </c>
      <c r="K9" s="25"/>
      <c r="L9" s="25"/>
      <c r="M9" s="25"/>
      <c r="N9" s="23">
        <f t="shared" si="0"/>
        <v>-6726.1122777971768</v>
      </c>
      <c r="O9" s="6" t="s">
        <v>64</v>
      </c>
      <c r="P9" s="68" t="s">
        <v>65</v>
      </c>
      <c r="Q9" s="69" t="s">
        <v>63</v>
      </c>
      <c r="R9" s="69"/>
      <c r="S9" s="24">
        <f t="shared" si="1"/>
        <v>4385.8562730624917</v>
      </c>
      <c r="T9" s="37">
        <f>' KF Non-OECD Americas'!I104</f>
        <v>0.35892083062149249</v>
      </c>
      <c r="U9" s="61"/>
      <c r="V9" s="28"/>
      <c r="W9" s="28"/>
      <c r="X9" s="28"/>
      <c r="Y9" s="28"/>
      <c r="Z9" s="28"/>
      <c r="AA9" s="28"/>
      <c r="AB9" s="28"/>
      <c r="AC9" s="28"/>
      <c r="AD9" s="28">
        <f>AD8-AD10</f>
        <v>4385.8562730624917</v>
      </c>
      <c r="AE9" s="28"/>
      <c r="AF9" s="28"/>
      <c r="AG9" s="29">
        <f>-(S9+N9)</f>
        <v>2340.2560047346851</v>
      </c>
      <c r="AH9" s="29">
        <f>-(C9*Emissionsfaktorer!$B$2*(1-' KF Non-OECD Americas'!I134)+D9*Emissionsfaktorer!$B$3+E9*Emissionsfaktorer!$B$4*(1-' KF Non-OECD Americas'!I135)+F9*Emissionsfaktorer!$B$5*(1-' KF Non-OECD Americas'!I136)+G9*Emissionsfaktorer!$B$6+H9*Emissionsfaktorer!$B$7+I9*Emissionsfaktorer!$B$8-J9*Emissionsfaktorer!B13*' KF Non-OECD Americas'!I137+K9*Emissionsfaktorer!$B$10+L9*Emissionsfaktorer!$B$11+M9*Emissionsfaktorer!$B$12)</f>
        <v>203.04381815857317</v>
      </c>
    </row>
    <row r="10" spans="1:34" x14ac:dyDescent="0.35">
      <c r="C10" s="26">
        <f>-($AD$10+$AE$10+$H$10+$I$10)/$T$10*' KF Non-OECD Americas'!$I116</f>
        <v>0</v>
      </c>
      <c r="D10" s="26">
        <f>-($AD$10+$AE$10+$H$10+$I$10)/$T$10*' KF Non-OECD Americas'!$I117</f>
        <v>0</v>
      </c>
      <c r="E10" s="26">
        <f>-($AD$10+$AE$10+$H$10+$I$10)/$T$10*' KF Non-OECD Americas'!$I118</f>
        <v>0</v>
      </c>
      <c r="F10" s="26">
        <f>-($AD$10+$AE$10+$H$10+$I$10)/$T$10*' KF Non-OECD Americas'!$I119</f>
        <v>0</v>
      </c>
      <c r="G10" s="26">
        <f>-($AD$10+$AE$10+$H$10+$I$10)/$T$10*' KF Non-OECD Americas'!$I120</f>
        <v>0</v>
      </c>
      <c r="H10" s="26"/>
      <c r="I10" s="26">
        <f>(AD10+AE10)*' KF Non-OECD Americas'!I98*-1</f>
        <v>0</v>
      </c>
      <c r="J10" s="26">
        <f>-($AD$10+$AE$10+$H$10+$I$10)/$T$10*' KF Non-OECD Americas'!$I121</f>
        <v>0</v>
      </c>
      <c r="K10" s="25"/>
      <c r="L10" s="25"/>
      <c r="M10" s="25"/>
      <c r="N10" s="23">
        <f t="shared" si="0"/>
        <v>0</v>
      </c>
      <c r="O10" s="6" t="s">
        <v>66</v>
      </c>
      <c r="P10" s="68" t="s">
        <v>67</v>
      </c>
      <c r="Q10" s="69" t="s">
        <v>63</v>
      </c>
      <c r="R10" s="69"/>
      <c r="S10" s="24">
        <f t="shared" si="1"/>
        <v>0</v>
      </c>
      <c r="T10" s="37">
        <f>' KF Non-OECD Americas'!I105</f>
        <v>0.46959029035070071</v>
      </c>
      <c r="U10" s="61"/>
      <c r="V10" s="28"/>
      <c r="W10" s="28"/>
      <c r="X10" s="28"/>
      <c r="Y10" s="28"/>
      <c r="Z10" s="28"/>
      <c r="AA10" s="28"/>
      <c r="AB10" s="28"/>
      <c r="AC10" s="28"/>
      <c r="AD10" s="28">
        <f>AE10*' KF Non-OECD Americas'!I90</f>
        <v>0</v>
      </c>
      <c r="AE10" s="28">
        <f>AE8*' KF Non-OECD Americas'!I85</f>
        <v>0</v>
      </c>
      <c r="AF10" s="28"/>
      <c r="AG10" s="29">
        <f t="shared" ref="AG10:AG11" si="3">-(S10+N10)</f>
        <v>0</v>
      </c>
      <c r="AH10" s="29">
        <f>-(C10*Emissionsfaktorer!$B$2*(1-' KF Non-OECD Americas'!I135)+D10*Emissionsfaktorer!$B$3+E10*Emissionsfaktorer!$B$4*(1-' KF Non-OECD Americas'!I136)+F10*Emissionsfaktorer!$B$5*(1-' KF Non-OECD Americas'!I137)+G10*Emissionsfaktorer!$B$6+H10*Emissionsfaktorer!$B$7+I10*Emissionsfaktorer!$B$8-J10*Emissionsfaktorer!B14*' KF Non-OECD Americas'!I142+K10*Emissionsfaktorer!$B$10+L10*Emissionsfaktorer!$B$11+M10*Emissionsfaktorer!$B$12)</f>
        <v>0</v>
      </c>
    </row>
    <row r="11" spans="1:34" x14ac:dyDescent="0.35">
      <c r="C11" s="26">
        <f>-($AE$11+$H$11+$I$11)/IF($T$11=0,1,$T$11)*' KF Non-OECD Americas'!$I123</f>
        <v>0</v>
      </c>
      <c r="D11" s="26">
        <f>-($AE$11+$H$11+$I$11)/IF($T$11=0,1,$T$11)*' KF Non-OECD Americas'!$I123</f>
        <v>0</v>
      </c>
      <c r="E11" s="26">
        <f>-($AE$11+$H$11+$I$11)/IF($T$11=0,1,$T$11)*' KF Non-OECD Americas'!$I123</f>
        <v>0</v>
      </c>
      <c r="F11" s="26">
        <f>-($AE$11+$H$11+$I$11)/IF($T$11=0,1,$T$11)*' KF Non-OECD Americas'!$I123</f>
        <v>0</v>
      </c>
      <c r="G11" s="26">
        <f>-($AE$11+$H$11+$I$11)/IF($T$11=0,1,$T$11)*' KF Non-OECD Americas'!$I123</f>
        <v>0</v>
      </c>
      <c r="H11" s="26"/>
      <c r="I11" s="26">
        <f>AE11*' KF Non-OECD Americas'!I101*-1</f>
        <v>0</v>
      </c>
      <c r="J11" s="26">
        <f>-($AE$11+$H$11+$I$11)/IF($T$11=0,1,$T$11)*' KF Non-OECD Americas'!$I128</f>
        <v>0</v>
      </c>
      <c r="K11" s="28">
        <f>AE11*' KF Non-OECD Americas'!I88*-1</f>
        <v>0</v>
      </c>
      <c r="L11" s="25"/>
      <c r="M11" s="25"/>
      <c r="N11" s="23">
        <f t="shared" si="0"/>
        <v>0</v>
      </c>
      <c r="O11" s="6" t="s">
        <v>68</v>
      </c>
      <c r="P11" s="64" t="s">
        <v>69</v>
      </c>
      <c r="Q11" s="69" t="s">
        <v>63</v>
      </c>
      <c r="R11" s="69"/>
      <c r="S11" s="24">
        <f t="shared" si="1"/>
        <v>0</v>
      </c>
      <c r="T11" s="37">
        <f>' KF Non-OECD Americas'!I106</f>
        <v>0</v>
      </c>
      <c r="U11" s="61"/>
      <c r="V11" s="28"/>
      <c r="W11" s="28"/>
      <c r="X11" s="28"/>
      <c r="Y11" s="28"/>
      <c r="Z11" s="28"/>
      <c r="AA11" s="28"/>
      <c r="AB11" s="28"/>
      <c r="AC11" s="28"/>
      <c r="AD11" s="28"/>
      <c r="AE11" s="28">
        <f>AE8*' KF Non-OECD Americas'!I86</f>
        <v>0</v>
      </c>
      <c r="AF11" s="28"/>
      <c r="AG11" s="29">
        <f t="shared" si="3"/>
        <v>0</v>
      </c>
      <c r="AH11" s="29">
        <f>-(C11*Emissionsfaktorer!$B$2+D11*Emissionsfaktorer!$B$3+E11*Emissionsfaktorer!$B$4+F11*Emissionsfaktorer!$B$5+G11*Emissionsfaktorer!$B$6+H11*Emissionsfaktorer!$B$7+I11*Emissionsfaktorer!$B$8+J11*Emissionsfaktorer!$B$9+K11*Emissionsfaktorer!$B$10+L11*Emissionsfaktorer!$B$11+M11*Emissionsfaktorer!$B$12)</f>
        <v>0</v>
      </c>
    </row>
    <row r="12" spans="1:34" x14ac:dyDescent="0.35">
      <c r="C12" s="26"/>
      <c r="D12" s="26">
        <f>-X12/T12*' KF Non-OECD Americas'!I130</f>
        <v>-9237.9455412004208</v>
      </c>
      <c r="E12" s="25"/>
      <c r="F12" s="26"/>
      <c r="G12" s="26"/>
      <c r="H12" s="26"/>
      <c r="I12" s="26"/>
      <c r="J12" s="27">
        <f>-X12/T12*' KF Non-OECD Americas'!I131</f>
        <v>0</v>
      </c>
      <c r="K12" s="25"/>
      <c r="L12" s="25"/>
      <c r="M12" s="25"/>
      <c r="N12" s="23">
        <f t="shared" si="0"/>
        <v>-9237.9455412004208</v>
      </c>
      <c r="O12" s="6" t="s">
        <v>70</v>
      </c>
      <c r="P12" s="64" t="s">
        <v>71</v>
      </c>
      <c r="Q12" s="69" t="s">
        <v>63</v>
      </c>
      <c r="R12" s="69"/>
      <c r="S12" s="24">
        <f t="shared" si="1"/>
        <v>9015.470255343751</v>
      </c>
      <c r="T12" s="37">
        <f>' KF Non-OECD Americas'!I107</f>
        <v>0.97591723345148007</v>
      </c>
      <c r="U12" s="61"/>
      <c r="V12" s="28"/>
      <c r="W12" s="28"/>
      <c r="X12" s="28">
        <f>-(E9+E10+E11+E13+E14)</f>
        <v>9015.470255343751</v>
      </c>
      <c r="Y12" s="28"/>
      <c r="Z12" s="28"/>
      <c r="AA12" s="28"/>
      <c r="AB12" s="28"/>
      <c r="AC12" s="28"/>
      <c r="AD12" s="28"/>
      <c r="AE12" s="28"/>
      <c r="AF12" s="28"/>
      <c r="AG12" s="29">
        <f>-(S12+N12)</f>
        <v>222.47528585666987</v>
      </c>
      <c r="AH12" s="29">
        <f>J12*Emissionsfaktorer!B4</f>
        <v>0</v>
      </c>
    </row>
    <row r="13" spans="1:34" x14ac:dyDescent="0.35">
      <c r="C13" s="28">
        <f>N13*' KF Non-OECD Americas'!I79</f>
        <v>-24.662607999999999</v>
      </c>
      <c r="D13" s="28">
        <f>N13*' KF Non-OECD Americas'!I81</f>
        <v>-19.428608000000001</v>
      </c>
      <c r="E13" s="28">
        <f>N13*' KF Non-OECD Americas'!I82</f>
        <v>-501.45907199999999</v>
      </c>
      <c r="F13" s="28">
        <f>N13*' KF Non-OECD Americas'!I80</f>
        <v>-983.36391999999989</v>
      </c>
      <c r="G13" s="28"/>
      <c r="H13" s="28"/>
      <c r="I13" s="28"/>
      <c r="J13" s="36">
        <f>N13*' KF Non-OECD Americas'!I83</f>
        <v>-602.07748800000002</v>
      </c>
      <c r="K13" s="28">
        <f>N13*' KF Non-OECD Americas'!I77</f>
        <v>-187.92153599999966</v>
      </c>
      <c r="L13" s="28">
        <f>N13*' KF Non-OECD Americas'!I78</f>
        <v>0</v>
      </c>
      <c r="M13" s="25"/>
      <c r="N13" s="23">
        <f>N16*' KF Non-OECD Americas'!I75</f>
        <v>-2318.9132319999999</v>
      </c>
      <c r="O13" s="6" t="s">
        <v>72</v>
      </c>
      <c r="P13" s="64" t="s">
        <v>73</v>
      </c>
      <c r="Q13" s="69" t="s">
        <v>63</v>
      </c>
      <c r="R13" s="69"/>
      <c r="S13" s="24">
        <f t="shared" si="1"/>
        <v>0</v>
      </c>
      <c r="T13" s="37">
        <v>0</v>
      </c>
      <c r="U13" s="61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9">
        <f>-(S13+N13)</f>
        <v>2318.9132319999999</v>
      </c>
      <c r="AH13" s="29">
        <f>-(C13*Emissionsfaktorer!$B$2+D13*Emissionsfaktorer!$B$3+E13*Emissionsfaktorer!$B$4+F13*Emissionsfaktorer!$B$5+G13*Emissionsfaktorer!$B$6+H13*Emissionsfaktorer!$B$7+I13*Emissionsfaktorer!$B$8+J13*Emissionsfaktorer!$B$9+K13*Emissionsfaktorer!$B$10+L13*Emissionsfaktorer!$B$11+M13*Emissionsfaktorer!$B$12)</f>
        <v>96.505580671999994</v>
      </c>
    </row>
    <row r="14" spans="1:34" x14ac:dyDescent="0.35">
      <c r="C14" s="15"/>
      <c r="D14" s="15"/>
      <c r="E14" s="16">
        <f>-X14*1</f>
        <v>-7669.9311426640552</v>
      </c>
      <c r="F14" s="15"/>
      <c r="G14" s="15"/>
      <c r="H14" s="15"/>
      <c r="I14" s="15"/>
      <c r="J14" s="20"/>
      <c r="K14" s="16">
        <f>-AD14*(1+' KF Non-OECD Americas'!I72)</f>
        <v>-4197.9347370624919</v>
      </c>
      <c r="L14" s="16">
        <f>-AE14*(1+' KF Non-OECD Americas'!I73)</f>
        <v>0</v>
      </c>
      <c r="M14" s="16"/>
      <c r="N14" s="23">
        <f t="shared" si="0"/>
        <v>-11867.865879726547</v>
      </c>
      <c r="O14" s="22" t="s">
        <v>74</v>
      </c>
      <c r="P14" s="66" t="s">
        <v>75</v>
      </c>
      <c r="Q14" s="70"/>
      <c r="R14" s="70"/>
      <c r="S14" s="24">
        <f t="shared" si="1"/>
        <v>11165.076626054841</v>
      </c>
      <c r="T14" s="37"/>
      <c r="U14" s="61"/>
      <c r="V14" s="16"/>
      <c r="W14" s="16"/>
      <c r="X14" s="16">
        <f>-E16</f>
        <v>7669.9311426640552</v>
      </c>
      <c r="Y14" s="16"/>
      <c r="Z14" s="16"/>
      <c r="AA14" s="16"/>
      <c r="AB14" s="16"/>
      <c r="AC14" s="16"/>
      <c r="AD14" s="16">
        <f>-K16</f>
        <v>3495.145483390786</v>
      </c>
      <c r="AE14" s="16">
        <f>-L16</f>
        <v>0</v>
      </c>
      <c r="AF14" s="16"/>
      <c r="AG14" s="21">
        <f>-(N14+S14)</f>
        <v>702.78925367170632</v>
      </c>
      <c r="AH14" s="21"/>
    </row>
    <row r="15" spans="1:34" x14ac:dyDescent="0.35"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23">
        <f t="shared" si="0"/>
        <v>0</v>
      </c>
      <c r="O15" s="22" t="s">
        <v>76</v>
      </c>
      <c r="P15" s="67" t="s">
        <v>77</v>
      </c>
      <c r="Q15" s="66"/>
      <c r="R15" s="66"/>
      <c r="S15" s="24">
        <f t="shared" si="1"/>
        <v>39.602301852081474</v>
      </c>
      <c r="T15" s="37"/>
      <c r="U15" s="61"/>
      <c r="V15" s="14"/>
      <c r="W15" s="14"/>
      <c r="X15" s="14"/>
      <c r="Y15" s="14"/>
      <c r="Z15" s="14"/>
      <c r="AA15" s="14"/>
      <c r="AB15" s="14">
        <f>I16*-1</f>
        <v>39.602301852081474</v>
      </c>
      <c r="AC15" s="14"/>
      <c r="AD15" s="14"/>
      <c r="AE15" s="14"/>
      <c r="AF15" s="14"/>
      <c r="AG15" s="14"/>
      <c r="AH15" s="14"/>
    </row>
    <row r="16" spans="1:34" x14ac:dyDescent="0.35">
      <c r="C16" s="14">
        <f t="shared" ref="C16:M16" si="4">SUM(C17:C19)</f>
        <v>-499.41163769874817</v>
      </c>
      <c r="D16" s="14">
        <f t="shared" si="4"/>
        <v>-48.99066476395349</v>
      </c>
      <c r="E16" s="14">
        <f t="shared" si="4"/>
        <v>-7669.9311426640552</v>
      </c>
      <c r="F16" s="14">
        <f t="shared" si="4"/>
        <v>-1971.6996379428126</v>
      </c>
      <c r="G16" s="14">
        <f t="shared" si="4"/>
        <v>0</v>
      </c>
      <c r="H16" s="14">
        <f t="shared" si="4"/>
        <v>0</v>
      </c>
      <c r="I16" s="14">
        <f t="shared" si="4"/>
        <v>-39.602301852081474</v>
      </c>
      <c r="J16" s="14">
        <f t="shared" si="4"/>
        <v>-3973.1285638068675</v>
      </c>
      <c r="K16" s="14">
        <f t="shared" si="4"/>
        <v>-3495.145483390786</v>
      </c>
      <c r="L16" s="14">
        <f t="shared" si="4"/>
        <v>0</v>
      </c>
      <c r="M16" s="14">
        <f t="shared" si="4"/>
        <v>0</v>
      </c>
      <c r="N16" s="23">
        <f>' KF Non-OECD Americas'!I5</f>
        <v>-17698.205728000001</v>
      </c>
      <c r="O16" s="10" t="s">
        <v>78</v>
      </c>
      <c r="P16" s="71" t="s">
        <v>79</v>
      </c>
      <c r="Q16" s="71"/>
      <c r="R16" s="71"/>
      <c r="S16" s="24">
        <f t="shared" si="1"/>
        <v>10986.521889627493</v>
      </c>
      <c r="T16" s="37"/>
      <c r="U16" s="61"/>
      <c r="V16" s="14"/>
      <c r="W16" s="14"/>
      <c r="X16" s="14"/>
      <c r="Y16" s="14"/>
      <c r="Z16" s="14"/>
      <c r="AA16" s="14"/>
      <c r="AB16" s="14"/>
      <c r="AC16" s="14"/>
      <c r="AD16" s="14"/>
      <c r="AE16" s="14"/>
      <c r="AF16" s="14">
        <f>SUM(AF17:AF19)</f>
        <v>10986.521889627493</v>
      </c>
      <c r="AG16" s="14">
        <f t="shared" ref="AG16:AH16" si="5">SUM(AG17:AG19)</f>
        <v>6711.3875424918115</v>
      </c>
      <c r="AH16" s="14">
        <f t="shared" si="5"/>
        <v>742.74575178658961</v>
      </c>
    </row>
    <row r="17" spans="3:34" x14ac:dyDescent="0.35">
      <c r="C17" s="25">
        <f>AF17*' KF Non-OECD Americas'!I15/T17*' KF Non-OECD Americas'!I139/' KF Non-OECD Americas'!I$139*-1</f>
        <v>-496.77371517909762</v>
      </c>
      <c r="D17" s="25">
        <f>AF17*' KF Non-OECD Americas'!I16/T17*' KF Non-OECD Americas'!I139/' KF Non-OECD Americas'!I$139*-1</f>
        <v>-48.99066476395349</v>
      </c>
      <c r="E17" s="25">
        <f>AF17*' KF Non-OECD Americas'!I17/T17*' KF Non-OECD Americas'!I139/' KF Non-OECD Americas'!I$139*-1</f>
        <v>-863.28250892173423</v>
      </c>
      <c r="F17" s="25">
        <f>AF17*' KF Non-OECD Americas'!I18/T17*' KF Non-OECD Americas'!I139/' KF Non-OECD Americas'!I$139*-1</f>
        <v>-1039.3557955306439</v>
      </c>
      <c r="G17" s="25"/>
      <c r="H17" s="25"/>
      <c r="I17" s="25">
        <f>AF17*' KF Non-OECD Americas'!I19/T17*' KF Non-OECD Americas'!I142/' KF Non-OECD Americas'!I$142*-1</f>
        <v>0</v>
      </c>
      <c r="J17" s="25">
        <f>AF17*' KF Non-OECD Americas'!I20*' KF Non-OECD Americas'!I139/T17/' KF Non-OECD Americas'!I$139*-1</f>
        <v>-1699.1386200482636</v>
      </c>
      <c r="K17" s="25">
        <f>AF17*' KF Non-OECD Americas'!I21*' KF Non-OECD Americas'!I141/T17/' KF Non-OECD Americas'!I$141*-1</f>
        <v>-1336.6914455210997</v>
      </c>
      <c r="L17" s="25">
        <f>AF17*' KF Non-OECD Americas'!I22*' KF Non-OECD Americas'!I142/T17/' KF Non-OECD Americas'!I$142*-1</f>
        <v>0</v>
      </c>
      <c r="M17" s="25"/>
      <c r="N17" s="23">
        <f>SUM(C17:L17)</f>
        <v>-5484.2327499647927</v>
      </c>
      <c r="O17" s="6" t="s">
        <v>80</v>
      </c>
      <c r="P17" s="64" t="s">
        <v>81</v>
      </c>
      <c r="Q17" s="69" t="s">
        <v>79</v>
      </c>
      <c r="R17" s="69"/>
      <c r="S17" s="24">
        <f t="shared" si="1"/>
        <v>4587.8899167999998</v>
      </c>
      <c r="T17" s="37">
        <f>(' KF Non-OECD Americas'!I15+' KF Non-OECD Americas'!I16+' KF Non-OECD Americas'!I17+' KF Non-OECD Americas'!I18+' KF Non-OECD Americas'!I20)*' KF Non-OECD Americas'!I139+(' KF Non-OECD Americas'!I19+' KF Non-OECD Americas'!I22)*' KF Non-OECD Americas'!I142+' KF Non-OECD Americas'!I21*' KF Non-OECD Americas'!I141</f>
        <v>0.83656003054017947</v>
      </c>
      <c r="U17" s="61"/>
      <c r="V17" s="25"/>
      <c r="W17" s="25"/>
      <c r="X17" s="25"/>
      <c r="Y17" s="25"/>
      <c r="Z17" s="25"/>
      <c r="AA17" s="25"/>
      <c r="AB17" s="25"/>
      <c r="AC17" s="25"/>
      <c r="AD17" s="25"/>
      <c r="AE17" s="25"/>
      <c r="AF17" s="25">
        <f>' KF Non-OECD Americas'!I5*' KF Non-OECD Americas'!I7*((' KF Non-OECD Americas'!G15+' KF Non-OECD Americas'!G16+' KF Non-OECD Americas'!G17+' KF Non-OECD Americas'!G18+' KF Non-OECD Americas'!G20)*' KF Non-OECD Americas'!G139+(' KF Non-OECD Americas'!G19+' KF Non-OECD Americas'!G22)*' KF Non-OECD Americas'!G142+' KF Non-OECD Americas'!G21*' KF Non-OECD Americas'!G141)*-1</f>
        <v>4587.8899167999998</v>
      </c>
      <c r="AG17" s="25">
        <f>(S17+SUM(C17:M17))*-1</f>
        <v>896.34283316479286</v>
      </c>
      <c r="AH17" s="29">
        <f>-(C17*Emissionsfaktorer!$B$2+D17*Emissionsfaktorer!$B$3+E17*Emissionsfaktorer!$B$4+F17*Emissionsfaktorer!$B$5+G17*Emissionsfaktorer!$B$6+H17*Emissionsfaktorer!$B$7+I17*Emissionsfaktorer!$B$8+J17*Emissionsfaktorer!$B$9+K17*Emissionsfaktorer!$B$10+L17*Emissionsfaktorer!$B$11+M17*Emissionsfaktorer!$B$12)</f>
        <v>172.04625396531279</v>
      </c>
    </row>
    <row r="18" spans="3:34" x14ac:dyDescent="0.35">
      <c r="C18" s="25">
        <f>AF18*' KF Non-OECD Americas'!I24/T18*' KF Non-OECD Americas'!I140/' KF Non-OECD Americas'!I$140*-1</f>
        <v>0</v>
      </c>
      <c r="D18" s="25"/>
      <c r="E18" s="25">
        <f>AF18*' KF Non-OECD Americas'!I25/T18*' KF Non-OECD Americas'!I140/' KF Non-OECD Americas'!I$140*-1</f>
        <v>-5542.7278367440013</v>
      </c>
      <c r="F18" s="25">
        <f>AF18*' KF Non-OECD Americas'!I26/T18*' KF Non-OECD Americas'!I140/' KF Non-OECD Americas'!I$140*-1</f>
        <v>-320.56024655238843</v>
      </c>
      <c r="G18" s="25"/>
      <c r="H18" s="25"/>
      <c r="I18" s="25">
        <f>AF18*' KF Non-OECD Americas'!I27/T18*' KF Non-OECD Americas'!I142/' KF Non-OECD Americas'!I$142*-1</f>
        <v>0</v>
      </c>
      <c r="J18" s="25">
        <f>AF18*' KF Non-OECD Americas'!I28/T18*' KF Non-OECD Americas'!I140/' KF Non-OECD Americas'!I$140*-1</f>
        <v>-925.58840259758313</v>
      </c>
      <c r="K18" s="25">
        <f>AF18*' KF Non-OECD Americas'!I29/T18*' KF Non-OECD Americas'!I141/' KF Non-OECD Americas'!I$141*-1</f>
        <v>-14.068474770324254</v>
      </c>
      <c r="L18" s="25">
        <f>AF18*' KF Non-OECD Americas'!I30/T18*' KF Non-OECD Americas'!I142/' KF Non-OECD Americas'!I$142*-1</f>
        <v>0</v>
      </c>
      <c r="M18" s="25"/>
      <c r="N18" s="23">
        <f>SUM(C18:L18)</f>
        <v>-6802.9449606642966</v>
      </c>
      <c r="O18" s="6" t="s">
        <v>82</v>
      </c>
      <c r="P18" s="64" t="s">
        <v>83</v>
      </c>
      <c r="Q18" s="69" t="s">
        <v>79</v>
      </c>
      <c r="R18" s="69"/>
      <c r="S18" s="24">
        <f t="shared" si="1"/>
        <v>2050.0279968</v>
      </c>
      <c r="T18" s="37">
        <f>(' KF Non-OECD Americas'!I24+' KF Non-OECD Americas'!I25+' KF Non-OECD Americas'!I26+' KF Non-OECD Americas'!I28)*' KF Non-OECD Americas'!I140+(' KF Non-OECD Americas'!I27+' KF Non-OECD Americas'!I30)*' KF Non-OECD Americas'!I142+' KF Non-OECD Americas'!I29*' KF Non-OECD Americas'!I141</f>
        <v>0.3013441985277826</v>
      </c>
      <c r="U18" s="61"/>
      <c r="V18" s="25"/>
      <c r="W18" s="25"/>
      <c r="X18" s="25"/>
      <c r="Y18" s="25"/>
      <c r="Z18" s="25"/>
      <c r="AA18" s="25"/>
      <c r="AB18" s="25"/>
      <c r="AC18" s="25"/>
      <c r="AD18" s="25"/>
      <c r="AE18" s="25"/>
      <c r="AF18" s="25">
        <f>' KF Non-OECD Americas'!I5*' KF Non-OECD Americas'!I8*-1*((' KF Non-OECD Americas'!G24+' KF Non-OECD Americas'!G25+' KF Non-OECD Americas'!G26+' KF Non-OECD Americas'!G28)*' KF Non-OECD Americas'!G140+(' KF Non-OECD Americas'!G27+' KF Non-OECD Americas'!G30)*' KF Non-OECD Americas'!G142+' KF Non-OECD Americas'!G29*' KF Non-OECD Americas'!G141)</f>
        <v>2050.0279968</v>
      </c>
      <c r="AG18" s="25">
        <f>(S18+SUM(C18:M18))*-1</f>
        <v>4752.9169638642961</v>
      </c>
      <c r="AH18" s="29">
        <f>-(C18*Emissionsfaktorer!$B$2+D18*Emissionsfaktorer!$B$3+E18*Emissionsfaktorer!$B$4+F18*Emissionsfaktorer!$B$5+G18*Emissionsfaktorer!$B$6+H18*Emissionsfaktorer!$B$7+I18*Emissionsfaktorer!$B$8+J18*Emissionsfaktorer!$B$9+K18*Emissionsfaktorer!$B$10+L18*Emissionsfaktorer!$B$11+M18*Emissionsfaktorer!$B$12)</f>
        <v>439.51924964603023</v>
      </c>
    </row>
    <row r="19" spans="3:34" x14ac:dyDescent="0.35">
      <c r="C19" s="25">
        <f>SUM(C20:C24)</f>
        <v>-2.6379225196505725</v>
      </c>
      <c r="D19" s="25">
        <f t="shared" ref="D19:M19" si="6">SUM(D20:D24)</f>
        <v>0</v>
      </c>
      <c r="E19" s="25">
        <f t="shared" si="6"/>
        <v>-1263.9207969983202</v>
      </c>
      <c r="F19" s="25">
        <f t="shared" si="6"/>
        <v>-611.78359585978023</v>
      </c>
      <c r="G19" s="25">
        <f t="shared" si="6"/>
        <v>0</v>
      </c>
      <c r="H19" s="25">
        <f t="shared" si="6"/>
        <v>0</v>
      </c>
      <c r="I19" s="25">
        <f t="shared" si="6"/>
        <v>-39.602301852081474</v>
      </c>
      <c r="J19" s="25">
        <f t="shared" si="6"/>
        <v>-1348.4015411610205</v>
      </c>
      <c r="K19" s="25">
        <f t="shared" si="6"/>
        <v>-2144.3855630993621</v>
      </c>
      <c r="L19" s="25">
        <f t="shared" si="6"/>
        <v>0</v>
      </c>
      <c r="M19" s="25">
        <f t="shared" si="6"/>
        <v>0</v>
      </c>
      <c r="N19" s="23">
        <f>SUM(N20:N24)</f>
        <v>-5410.7317214902159</v>
      </c>
      <c r="O19" s="6" t="s">
        <v>84</v>
      </c>
      <c r="P19" s="64" t="s">
        <v>85</v>
      </c>
      <c r="Q19" s="69" t="s">
        <v>79</v>
      </c>
      <c r="R19" s="69"/>
      <c r="S19" s="24">
        <f t="shared" si="1"/>
        <v>4348.6039760274925</v>
      </c>
      <c r="T19" s="37">
        <v>0.8</v>
      </c>
      <c r="U19" s="61"/>
      <c r="V19" s="25">
        <f>SUM(V20:V24)</f>
        <v>0</v>
      </c>
      <c r="W19" s="25">
        <f t="shared" ref="W19:AH19" si="7">SUM(W20:W24)</f>
        <v>0</v>
      </c>
      <c r="X19" s="25">
        <f t="shared" si="7"/>
        <v>0</v>
      </c>
      <c r="Y19" s="25">
        <f t="shared" si="7"/>
        <v>0</v>
      </c>
      <c r="Z19" s="25">
        <f t="shared" si="7"/>
        <v>0</v>
      </c>
      <c r="AA19" s="25">
        <f t="shared" si="7"/>
        <v>0</v>
      </c>
      <c r="AB19" s="25">
        <f t="shared" si="7"/>
        <v>0</v>
      </c>
      <c r="AC19" s="25">
        <f t="shared" si="7"/>
        <v>0</v>
      </c>
      <c r="AD19" s="25">
        <f t="shared" si="7"/>
        <v>0</v>
      </c>
      <c r="AE19" s="25">
        <f t="shared" si="7"/>
        <v>0</v>
      </c>
      <c r="AF19" s="25">
        <f t="shared" si="7"/>
        <v>4348.6039760274925</v>
      </c>
      <c r="AG19" s="25">
        <f t="shared" si="7"/>
        <v>1062.1277454627227</v>
      </c>
      <c r="AH19" s="25">
        <f t="shared" si="7"/>
        <v>131.18024817524662</v>
      </c>
    </row>
    <row r="20" spans="3:34" x14ac:dyDescent="0.35">
      <c r="C20" s="92">
        <f>AF20*' KF Non-OECD Americas'!I$32/T20*' KF Non-OECD Americas'!I$139/' KF Non-OECD Americas'!I$139*-1</f>
        <v>-2.5960600632980815</v>
      </c>
      <c r="D20" s="92"/>
      <c r="E20" s="92">
        <f>AF20*' KF Non-OECD Americas'!I33/T20*' KF Non-OECD Americas'!I$140/' KF Non-OECD Americas'!I$140*-1</f>
        <v>-569.54208033839529</v>
      </c>
      <c r="F20" s="92">
        <f>AF20*' KF Non-OECD Americas'!I$34/T20*' KF Non-OECD Americas'!I$140/' KF Non-OECD Americas'!I$140*-1</f>
        <v>-477.08884453577974</v>
      </c>
      <c r="G20" s="92"/>
      <c r="H20" s="92"/>
      <c r="I20" s="92">
        <f>AF20*' KF Non-OECD Americas'!I$35/T20*' KF Non-OECD Americas'!I$142/' KF Non-OECD Americas'!I$142*-1</f>
        <v>-1.1724142221346177</v>
      </c>
      <c r="J20" s="92">
        <f>AF20*' KF Non-OECD Americas'!I$36/T20*' KF Non-OECD Americas'!I$140/' KF Non-OECD Americas'!I$140*-1</f>
        <v>-1141.1358855655262</v>
      </c>
      <c r="K20" s="92">
        <f>AF20*' KF Non-OECD Americas'!I$37/T20*' KF Non-OECD Americas'!I$141/' KF Non-OECD Americas'!I$141*-1</f>
        <v>-1076.3599997925883</v>
      </c>
      <c r="L20" s="92">
        <f>AF20*' KF Non-OECD Americas'!I$38/T20*' KF Non-OECD Americas'!I$142/' KF Non-OECD Americas'!I$142*-1</f>
        <v>0</v>
      </c>
      <c r="M20" s="92"/>
      <c r="N20" s="23">
        <f>SUM(C20:L20)</f>
        <v>-3267.8952845177228</v>
      </c>
      <c r="O20" s="84" t="s">
        <v>86</v>
      </c>
      <c r="P20" s="85" t="s">
        <v>87</v>
      </c>
      <c r="Q20" s="86" t="s">
        <v>85</v>
      </c>
      <c r="R20" s="86"/>
      <c r="S20" s="24">
        <f t="shared" si="1"/>
        <v>2776.0047104274931</v>
      </c>
      <c r="T20" s="37">
        <f>(' KF Non-OECD Americas'!I32+' KF Non-OECD Americas'!I33+' KF Non-OECD Americas'!I34+' KF Non-OECD Americas'!I36)*' KF Non-OECD Americas'!I139+(' KF Non-OECD Americas'!I35+' KF Non-OECD Americas'!I38)*' KF Non-OECD Americas'!I142+' KF Non-OECD Americas'!I37*' KF Non-OECD Americas'!I141</f>
        <v>0.84947786533410208</v>
      </c>
      <c r="U20" s="61"/>
      <c r="V20" s="92"/>
      <c r="W20" s="92"/>
      <c r="X20" s="92"/>
      <c r="Y20" s="92"/>
      <c r="Z20" s="92"/>
      <c r="AA20" s="92"/>
      <c r="AB20" s="92"/>
      <c r="AC20" s="92"/>
      <c r="AD20" s="92"/>
      <c r="AE20" s="92"/>
      <c r="AF20" s="92">
        <f>' KF Non-OECD Americas'!I5*' KF Non-OECD Americas'!I9*((' KF Non-OECD Americas'!G32+' KF Non-OECD Americas'!G33+' KF Non-OECD Americas'!G34+' KF Non-OECD Americas'!G36)*' KF Non-OECD Americas'!G139+(' KF Non-OECD Americas'!G35+' KF Non-OECD Americas'!G38)*' KF Non-OECD Americas'!G142+' KF Non-OECD Americas'!G37*' KF Non-OECD Americas'!G141)*-1</f>
        <v>2776.0047104274931</v>
      </c>
      <c r="AG20" s="92">
        <f>(N20+AF20)*-1</f>
        <v>491.89057409022962</v>
      </c>
      <c r="AH20" s="87">
        <f>-(C20*Emissionsfaktorer!$B$2+D20*Emissionsfaktorer!$B$3+E20*Emissionsfaktorer!$B$4+F20*Emissionsfaktorer!$B$5+G20*Emissionsfaktorer!$B$6+H20*Emissionsfaktorer!$B$7+I20*Emissionsfaktorer!$B$8+J20*Emissionsfaktorer!$B$9+K20*Emissionsfaktorer!$B$10+L20*Emissionsfaktorer!$B$11+M20*Emissionsfaktorer!$B$12)</f>
        <v>70.725887950270803</v>
      </c>
    </row>
    <row r="21" spans="3:34" x14ac:dyDescent="0.35">
      <c r="C21" s="92">
        <f>AF21*' KF Non-OECD Americas'!I$40/T21*' KF Non-OECD Americas'!I$139/' KF Non-OECD Americas'!I$139*-1</f>
        <v>0</v>
      </c>
      <c r="D21" s="92"/>
      <c r="E21" s="92">
        <f>AF21*' KF Non-OECD Americas'!I41/T21*' KF Non-OECD Americas'!I$140/' KF Non-OECD Americas'!I$140*-1</f>
        <v>-121.34505599999997</v>
      </c>
      <c r="F21" s="92">
        <f>AF21*' KF Non-OECD Americas'!I$42/T21*' KF Non-OECD Americas'!I$140/' KF Non-OECD Americas'!I$140*-1</f>
        <v>-101.74895999999998</v>
      </c>
      <c r="G21" s="92"/>
      <c r="H21" s="92"/>
      <c r="I21" s="92">
        <f>AF21*' KF Non-OECD Americas'!I$43/T21*' KF Non-OECD Americas'!I$142/' KF Non-OECD Americas'!I$142*-1</f>
        <v>-0.66995199999999977</v>
      </c>
      <c r="J21" s="92">
        <f>AF21*' KF Non-OECD Americas'!I$44/T21*' KF Non-OECD Americas'!I$140/' KF Non-OECD Americas'!I$140*-1</f>
        <v>-41.704511999999994</v>
      </c>
      <c r="K21" s="92">
        <f>AF21*' KF Non-OECD Americas'!I$45/T21*' KF Non-OECD Americas'!I$141/' KF Non-OECD Americas'!I$141*-1</f>
        <v>-918.42044799999962</v>
      </c>
      <c r="L21" s="92">
        <f>AF21*' KF Non-OECD Americas'!I$46/T21*' KF Non-OECD Americas'!I$142/' KF Non-OECD Americas'!I$142*-1</f>
        <v>0</v>
      </c>
      <c r="M21" s="92"/>
      <c r="N21" s="23">
        <f t="shared" ref="N21:N24" si="8">SUM(C21:L21)</f>
        <v>-1183.8889279999996</v>
      </c>
      <c r="O21" s="84" t="s">
        <v>88</v>
      </c>
      <c r="P21" s="85" t="s">
        <v>89</v>
      </c>
      <c r="Q21" s="86" t="s">
        <v>85</v>
      </c>
      <c r="R21" s="86"/>
      <c r="S21" s="24">
        <f t="shared" si="1"/>
        <v>1085.0081999999998</v>
      </c>
      <c r="T21" s="37">
        <f>(' KF Non-OECD Americas'!I40+' KF Non-OECD Americas'!I41+' KF Non-OECD Americas'!I42+' KF Non-OECD Americas'!I44)*' KF Non-OECD Americas'!I139+(' KF Non-OECD Americas'!I43+' KF Non-OECD Americas'!I46)*' KF Non-OECD Americas'!I142+' KF Non-OECD Americas'!I45*' KF Non-OECD Americas'!I141</f>
        <v>0.9164780363584919</v>
      </c>
      <c r="U21" s="61"/>
      <c r="V21" s="92"/>
      <c r="W21" s="92"/>
      <c r="X21" s="92"/>
      <c r="Y21" s="92"/>
      <c r="Z21" s="92"/>
      <c r="AA21" s="92"/>
      <c r="AB21" s="92"/>
      <c r="AC21" s="92"/>
      <c r="AD21" s="92"/>
      <c r="AE21" s="92"/>
      <c r="AF21" s="92">
        <f>' KF Non-OECD Americas'!I5*' KF Non-OECD Americas'!I10*((' KF Non-OECD Americas'!G40+' KF Non-OECD Americas'!G41+' KF Non-OECD Americas'!G42+' KF Non-OECD Americas'!G44)*' KF Non-OECD Americas'!G139+(' KF Non-OECD Americas'!G43+' KF Non-OECD Americas'!G46)*' KF Non-OECD Americas'!G142+' KF Non-OECD Americas'!G45*' KF Non-OECD Americas'!G141)*-1</f>
        <v>1085.0081999999998</v>
      </c>
      <c r="AG21" s="92">
        <f t="shared" ref="AG21:AG24" si="9">(N21+AF21)*-1</f>
        <v>98.880727999999863</v>
      </c>
      <c r="AH21" s="87">
        <f>-(C21*Emissionsfaktorer!$B$2+D21*Emissionsfaktorer!$B$3+E21*Emissionsfaktorer!$B$4+F21*Emissionsfaktorer!$B$5+G21*Emissionsfaktorer!$B$6+H21*Emissionsfaktorer!$B$7+I21*Emissionsfaktorer!$B$8+J21*Emissionsfaktorer!$B$9+K21*Emissionsfaktorer!$B$10+L21*Emissionsfaktorer!$B$11+M21*Emissionsfaktorer!$B$12)</f>
        <v>15.021914975999996</v>
      </c>
    </row>
    <row r="22" spans="3:34" x14ac:dyDescent="0.35">
      <c r="C22" s="92">
        <f>AF22*' KF Non-OECD Americas'!I$48/T22*' KF Non-OECD Americas'!I$139/' KF Non-OECD Americas'!I$139*-1</f>
        <v>0</v>
      </c>
      <c r="D22" s="92"/>
      <c r="E22" s="92">
        <f>AF22*' KF Non-OECD Americas'!I49/T22*' KF Non-OECD Americas'!I$140/' KF Non-OECD Americas'!I$140*-1</f>
        <v>-454.52055999999999</v>
      </c>
      <c r="F22" s="92">
        <f>AF22*' KF Non-OECD Americas'!I$50/T22*' KF Non-OECD Americas'!I$140/' KF Non-OECD Americas'!I$140*-1</f>
        <v>-8.3743999999999999E-2</v>
      </c>
      <c r="G22" s="92"/>
      <c r="H22" s="92"/>
      <c r="I22" s="92">
        <f>AF22*' KF Non-OECD Americas'!I$51/T22*' KF Non-OECD Americas'!I$142/' KF Non-OECD Americas'!I$142*-1</f>
        <v>0</v>
      </c>
      <c r="J22" s="92">
        <f>AF22*' KF Non-OECD Americas'!I$52/T22*' KF Non-OECD Americas'!I$140/' KF Non-OECD Americas'!I$140*-1</f>
        <v>-162.21212800000001</v>
      </c>
      <c r="K22" s="92">
        <f>AF22*' KF Non-OECD Americas'!I$53/T22*' KF Non-OECD Americas'!I$141/' KF Non-OECD Americas'!I$141*-1</f>
        <v>-132.73424</v>
      </c>
      <c r="L22" s="92">
        <f>AF22*' KF Non-OECD Americas'!I$54/T22*' KF Non-OECD Americas'!I$142/' KF Non-OECD Americas'!I$142*-1</f>
        <v>0</v>
      </c>
      <c r="M22" s="92"/>
      <c r="N22" s="23">
        <f t="shared" si="8"/>
        <v>-749.55067200000008</v>
      </c>
      <c r="O22" s="84" t="s">
        <v>90</v>
      </c>
      <c r="P22" s="85" t="s">
        <v>91</v>
      </c>
      <c r="Q22" s="86" t="s">
        <v>85</v>
      </c>
      <c r="R22" s="86"/>
      <c r="S22" s="24">
        <f t="shared" si="1"/>
        <v>311.1424576</v>
      </c>
      <c r="T22" s="37">
        <f>(' KF Non-OECD Americas'!I48+' KF Non-OECD Americas'!I49+' KF Non-OECD Americas'!I50+' KF Non-OECD Americas'!I52)*' KF Non-OECD Americas'!I140+(' KF Non-OECD Americas'!I51+' KF Non-OECD Americas'!I54)*' KF Non-OECD Americas'!I142+' KF Non-OECD Americas'!I53*' KF Non-OECD Americas'!I141</f>
        <v>0.41510530137981116</v>
      </c>
      <c r="U22" s="61"/>
      <c r="V22" s="92"/>
      <c r="W22" s="92"/>
      <c r="X22" s="92"/>
      <c r="Y22" s="92"/>
      <c r="Z22" s="92"/>
      <c r="AA22" s="92"/>
      <c r="AB22" s="92"/>
      <c r="AC22" s="92"/>
      <c r="AD22" s="92"/>
      <c r="AE22" s="92"/>
      <c r="AF22" s="92">
        <f>((' KF Non-OECD Americas'!G48+' KF Non-OECD Americas'!G49+' KF Non-OECD Americas'!G50+' KF Non-OECD Americas'!G52)*' KF Non-OECD Americas'!G140+(' KF Non-OECD Americas'!G51+' KF Non-OECD Americas'!G54)*' KF Non-OECD Americas'!G142+' KF Non-OECD Americas'!G53*' KF Non-OECD Americas'!G141)*' KF Non-OECD Americas'!I11*' KF Non-OECD Americas'!I5*-1</f>
        <v>311.1424576</v>
      </c>
      <c r="AG22" s="92">
        <f t="shared" si="9"/>
        <v>438.40821440000008</v>
      </c>
      <c r="AH22" s="87">
        <f>-(C22*Emissionsfaktorer!$B$2+D22*Emissionsfaktorer!$B$3+E22*Emissionsfaktorer!$B$4+F22*Emissionsfaktorer!$B$5+G22*Emissionsfaktorer!$B$6+H22*Emissionsfaktorer!$B$7+I22*Emissionsfaktorer!$B$8+J22*Emissionsfaktorer!$B$9+K22*Emissionsfaktorer!$B$10+L22*Emissionsfaktorer!$B$11+M22*Emissionsfaktorer!$B$12)</f>
        <v>34.548335967999996</v>
      </c>
    </row>
    <row r="23" spans="3:34" x14ac:dyDescent="0.35">
      <c r="C23" s="92">
        <f>AF23*' KF Non-OECD Americas'!I$56/T23*' KF Non-OECD Americas'!I$139/' KF Non-OECD Americas'!I$139*-1</f>
        <v>0</v>
      </c>
      <c r="D23" s="92"/>
      <c r="E23" s="92">
        <f>AF23*' KF Non-OECD Americas'!I57/T23*' KF Non-OECD Americas'!I$140/' KF Non-OECD Americas'!I$140*-1</f>
        <v>-2.1354719999999991</v>
      </c>
      <c r="F23" s="92">
        <f>AF23*' KF Non-OECD Americas'!I$58/T23*' KF Non-OECD Americas'!I$140/' KF Non-OECD Americas'!I$140*-1</f>
        <v>-8.3743999999999971E-2</v>
      </c>
      <c r="G23" s="92"/>
      <c r="H23" s="92"/>
      <c r="I23" s="92">
        <f>AF23*' KF Non-OECD Americas'!I$59/T23*' KF Non-OECD Americas'!I$142/' KF Non-OECD Americas'!I$142*-1</f>
        <v>0</v>
      </c>
      <c r="J23" s="92">
        <f>AF23*' KF Non-OECD Americas'!I$60/T23*' KF Non-OECD Americas'!I$140/' KF Non-OECD Americas'!I$140*-1</f>
        <v>-8.3743999999999971E-2</v>
      </c>
      <c r="K23" s="92">
        <f>AF23*' KF Non-OECD Americas'!I$61/T23*' KF Non-OECD Americas'!I$141/' KF Non-OECD Americas'!I$141*-1</f>
        <v>-1.339904</v>
      </c>
      <c r="L23" s="92">
        <f>AF23*' KF Non-OECD Americas'!I$62/T23*' KF Non-OECD Americas'!I$142/' KF Non-OECD Americas'!I$142*-1</f>
        <v>0</v>
      </c>
      <c r="M23" s="92"/>
      <c r="N23" s="23">
        <f t="shared" si="8"/>
        <v>-3.6428639999999985</v>
      </c>
      <c r="O23" s="84" t="s">
        <v>92</v>
      </c>
      <c r="P23" s="85" t="s">
        <v>93</v>
      </c>
      <c r="Q23" s="86" t="s">
        <v>85</v>
      </c>
      <c r="R23" s="86"/>
      <c r="S23" s="24">
        <f t="shared" si="1"/>
        <v>1.9637967999999997</v>
      </c>
      <c r="T23" s="37">
        <f>(' KF Non-OECD Americas'!I56+' KF Non-OECD Americas'!I57+' KF Non-OECD Americas'!I58+' KF Non-OECD Americas'!I60)*' KF Non-OECD Americas'!I140+(' KF Non-OECD Americas'!I59+' KF Non-OECD Americas'!I62)*' KF Non-OECD Americas'!I142+' KF Non-OECD Americas'!I61*' KF Non-OECD Americas'!I141</f>
        <v>0.53908045977011498</v>
      </c>
      <c r="U23" s="61"/>
      <c r="V23" s="92"/>
      <c r="W23" s="92"/>
      <c r="X23" s="92"/>
      <c r="Y23" s="92"/>
      <c r="Z23" s="92"/>
      <c r="AA23" s="92"/>
      <c r="AB23" s="92"/>
      <c r="AC23" s="92"/>
      <c r="AD23" s="92"/>
      <c r="AE23" s="92"/>
      <c r="AF23" s="92">
        <f>((' KF Non-OECD Americas'!G56+' KF Non-OECD Americas'!G57+' KF Non-OECD Americas'!G58+' KF Non-OECD Americas'!G60)*' KF Non-OECD Americas'!G140+(' KF Non-OECD Americas'!G59+' KF Non-OECD Americas'!G62)*' KF Non-OECD Americas'!G142+' KF Non-OECD Americas'!G61*' KF Non-OECD Americas'!G141)*' KF Non-OECD Americas'!I5*' KF Non-OECD Americas'!I12*-1</f>
        <v>1.9637967999999997</v>
      </c>
      <c r="AG23" s="92">
        <f t="shared" si="9"/>
        <v>1.6790671999999989</v>
      </c>
      <c r="AH23" s="87">
        <f>-(C23*Emissionsfaktorer!$B$2+D23*Emissionsfaktorer!$B$3+E23*Emissionsfaktorer!$B$4+F23*Emissionsfaktorer!$B$5+G23*Emissionsfaktorer!$B$6+H23*Emissionsfaktorer!$B$7+I23*Emissionsfaktorer!$B$8+J23*Emissionsfaktorer!$B$9+K23*Emissionsfaktorer!$B$10+L23*Emissionsfaktorer!$B$11+M23*Emissionsfaktorer!$B$12)</f>
        <v>0.16706927999999993</v>
      </c>
    </row>
    <row r="24" spans="3:34" x14ac:dyDescent="0.35">
      <c r="C24" s="92">
        <f>AF24*' KF Non-OECD Americas'!I$64/T24*' KF Non-OECD Americas'!I$139/' KF Non-OECD Americas'!I$139*-1</f>
        <v>-4.1862456352490966E-2</v>
      </c>
      <c r="D24" s="92"/>
      <c r="E24" s="92">
        <f>AF24*' KF Non-OECD Americas'!I65/T24*' KF Non-OECD Americas'!I$140/' KF Non-OECD Americas'!I$140*-1</f>
        <v>-116.37762865992491</v>
      </c>
      <c r="F24" s="92">
        <f>AF24*' KF Non-OECD Americas'!I$66/T24*' KF Non-OECD Americas'!I$140/' KF Non-OECD Americas'!I$140*-1</f>
        <v>-32.778303324000433</v>
      </c>
      <c r="G24" s="92"/>
      <c r="H24" s="92"/>
      <c r="I24" s="92">
        <f>AF24*' KF Non-OECD Americas'!I$67/T24*' KF Non-OECD Americas'!I$142/' KF Non-OECD Americas'!I$142*-1</f>
        <v>-37.75993562994686</v>
      </c>
      <c r="J24" s="92">
        <f>AF24*' KF Non-OECD Americas'!I$68/T24*' KF Non-OECD Americas'!I$140/' KF Non-OECD Americas'!I$140*-1</f>
        <v>-3.2652715954942955</v>
      </c>
      <c r="K24" s="92">
        <f>AF24*' KF Non-OECD Americas'!I$69/T24*' KF Non-OECD Americas'!I$141/' KF Non-OECD Americas'!I$141*-1</f>
        <v>-15.530971306774155</v>
      </c>
      <c r="L24" s="92">
        <f>AF24*' KF Non-OECD Americas'!I$70/T24*' KF Non-OECD Americas'!I$142/' KF Non-OECD Americas'!I$142*-1</f>
        <v>0</v>
      </c>
      <c r="M24" s="92"/>
      <c r="N24" s="23">
        <f t="shared" si="8"/>
        <v>-205.75397297249313</v>
      </c>
      <c r="O24" s="84" t="s">
        <v>94</v>
      </c>
      <c r="P24" s="85" t="s">
        <v>95</v>
      </c>
      <c r="Q24" s="86" t="s">
        <v>85</v>
      </c>
      <c r="R24" s="86"/>
      <c r="S24" s="24">
        <f t="shared" si="1"/>
        <v>174.4848112</v>
      </c>
      <c r="T24" s="37">
        <f>(' KF Non-OECD Americas'!I64+' KF Non-OECD Americas'!I65+' KF Non-OECD Americas'!I66+' KF Non-OECD Americas'!I68)*' KF Non-OECD Americas'!I139+(' KF Non-OECD Americas'!I67+' KF Non-OECD Americas'!I70)*' KF Non-OECD Americas'!I142+' KF Non-OECD Americas'!I69*' KF Non-OECD Americas'!I141</f>
        <v>0.84802644964394713</v>
      </c>
      <c r="U24" s="61"/>
      <c r="V24" s="92"/>
      <c r="W24" s="92"/>
      <c r="X24" s="92"/>
      <c r="Y24" s="92"/>
      <c r="Z24" s="92"/>
      <c r="AA24" s="92"/>
      <c r="AB24" s="92"/>
      <c r="AC24" s="92"/>
      <c r="AD24" s="92"/>
      <c r="AE24" s="92"/>
      <c r="AF24" s="92">
        <f>((' KF Non-OECD Americas'!G64+' KF Non-OECD Americas'!G65+' KF Non-OECD Americas'!G66+' KF Non-OECD Americas'!G68)*' KF Non-OECD Americas'!G139+(' KF Non-OECD Americas'!G67+' KF Non-OECD Americas'!G70)*' KF Non-OECD Americas'!G142+' KF Non-OECD Americas'!G69*' KF Non-OECD Americas'!G141)*' KF Non-OECD Americas'!I5*' KF Non-OECD Americas'!I13*-1</f>
        <v>174.4848112</v>
      </c>
      <c r="AG24" s="92">
        <f t="shared" si="9"/>
        <v>31.269161772493135</v>
      </c>
      <c r="AH24" s="87">
        <f>-(C24*Emissionsfaktorer!$B$2+D24*Emissionsfaktorer!$B$3+E24*Emissionsfaktorer!$B$4+F24*Emissionsfaktorer!$B$5+G24*Emissionsfaktorer!$B$6+H24*Emissionsfaktorer!$B$7+I24*Emissionsfaktorer!$B$8+J24*Emissionsfaktorer!$B$9+K24*Emissionsfaktorer!$B$10+L24*Emissionsfaktorer!$B$11+M24*Emissionsfaktorer!$B$12)</f>
        <v>10.717040000975805</v>
      </c>
    </row>
    <row r="25" spans="3:34" x14ac:dyDescent="0.35"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23">
        <f>N16</f>
        <v>-17698.205728000001</v>
      </c>
      <c r="O25" s="10" t="s">
        <v>11</v>
      </c>
      <c r="P25" s="71" t="s">
        <v>96</v>
      </c>
      <c r="Q25" s="71"/>
      <c r="R25" s="71"/>
      <c r="S25" s="24">
        <f t="shared" si="1"/>
        <v>10986.521889627493</v>
      </c>
      <c r="T25" s="37">
        <f>AF25/N25*-1</f>
        <v>0.62077037969142379</v>
      </c>
      <c r="U25" s="61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>
        <f>AF16</f>
        <v>10986.521889627493</v>
      </c>
      <c r="AG25" s="14">
        <f>-(S25+N25)</f>
        <v>6711.683838372508</v>
      </c>
      <c r="AH25" s="14"/>
    </row>
    <row r="28" spans="3:34" x14ac:dyDescent="0.35">
      <c r="X28" s="95"/>
    </row>
    <row r="29" spans="3:34" x14ac:dyDescent="0.35">
      <c r="X29" s="95"/>
    </row>
    <row r="30" spans="3:34" x14ac:dyDescent="0.35">
      <c r="X30" s="95"/>
    </row>
  </sheetData>
  <pageMargins left="0.7" right="0.7" top="0.75" bottom="0.75" header="0.3" footer="0.3"/>
  <pageSetup paperSize="9" orientation="portrait" horizontalDpi="4294967293" verticalDpi="4294967293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Ark34"/>
  <dimension ref="A1:AH31"/>
  <sheetViews>
    <sheetView topLeftCell="Q4" zoomScale="130" zoomScaleNormal="130" workbookViewId="0">
      <selection activeCell="J12" sqref="J12"/>
    </sheetView>
  </sheetViews>
  <sheetFormatPr defaultRowHeight="14.5" x14ac:dyDescent="0.35"/>
  <cols>
    <col min="3" max="3" width="16.453125" customWidth="1"/>
    <col min="4" max="4" width="12.81640625" customWidth="1"/>
    <col min="5" max="5" width="12.54296875" customWidth="1"/>
    <col min="6" max="6" width="16.54296875" customWidth="1"/>
    <col min="10" max="10" width="12.54296875" customWidth="1"/>
    <col min="11" max="11" width="11.54296875" customWidth="1"/>
    <col min="14" max="14" width="10.81640625" customWidth="1"/>
    <col min="15" max="15" width="51.54296875" customWidth="1"/>
    <col min="16" max="18" width="15.81640625" customWidth="1"/>
    <col min="19" max="19" width="12.81640625" customWidth="1"/>
    <col min="24" max="24" width="14.1796875" bestFit="1" customWidth="1"/>
    <col min="33" max="34" width="11.26953125" customWidth="1"/>
  </cols>
  <sheetData>
    <row r="1" spans="1:34" ht="140" x14ac:dyDescent="0.35">
      <c r="B1" s="44" t="s">
        <v>0</v>
      </c>
      <c r="C1" s="3" t="s">
        <v>1</v>
      </c>
      <c r="D1" s="8" t="s">
        <v>2</v>
      </c>
      <c r="E1" s="2" t="s">
        <v>3</v>
      </c>
      <c r="F1" s="3" t="s">
        <v>4</v>
      </c>
      <c r="G1" s="1" t="s">
        <v>5</v>
      </c>
      <c r="H1" s="1" t="s">
        <v>6</v>
      </c>
      <c r="I1" s="1" t="s">
        <v>7</v>
      </c>
      <c r="J1" s="3" t="s">
        <v>8</v>
      </c>
      <c r="K1" s="2" t="s">
        <v>9</v>
      </c>
      <c r="L1" s="2" t="s">
        <v>10</v>
      </c>
      <c r="M1" s="17" t="s">
        <v>11</v>
      </c>
      <c r="N1" s="5" t="s">
        <v>12</v>
      </c>
      <c r="O1" s="4" t="s">
        <v>261</v>
      </c>
      <c r="P1" s="60"/>
      <c r="Q1" s="60"/>
      <c r="R1" s="12" t="s">
        <v>14</v>
      </c>
      <c r="S1" s="11" t="s">
        <v>15</v>
      </c>
      <c r="T1" s="12" t="s">
        <v>16</v>
      </c>
      <c r="U1" s="44" t="s">
        <v>17</v>
      </c>
      <c r="V1" s="3" t="s">
        <v>1</v>
      </c>
      <c r="W1" s="8" t="s">
        <v>2</v>
      </c>
      <c r="X1" s="9" t="s">
        <v>3</v>
      </c>
      <c r="Y1" s="3" t="s">
        <v>4</v>
      </c>
      <c r="Z1" s="1" t="s">
        <v>5</v>
      </c>
      <c r="AA1" s="1" t="s">
        <v>6</v>
      </c>
      <c r="AB1" s="1" t="s">
        <v>7</v>
      </c>
      <c r="AC1" s="3" t="s">
        <v>8</v>
      </c>
      <c r="AD1" s="2" t="s">
        <v>9</v>
      </c>
      <c r="AE1" s="2" t="s">
        <v>10</v>
      </c>
      <c r="AF1" s="17" t="s">
        <v>11</v>
      </c>
      <c r="AG1" s="13" t="s">
        <v>18</v>
      </c>
      <c r="AH1" s="13" t="s">
        <v>19</v>
      </c>
    </row>
    <row r="2" spans="1:34" ht="24.75" customHeight="1" x14ac:dyDescent="0.35">
      <c r="A2" s="45" t="s">
        <v>20</v>
      </c>
      <c r="B2" s="46" t="s">
        <v>21</v>
      </c>
      <c r="C2" s="46" t="s">
        <v>22</v>
      </c>
      <c r="D2" s="46" t="s">
        <v>23</v>
      </c>
      <c r="E2" s="47" t="s">
        <v>24</v>
      </c>
      <c r="F2" s="46" t="s">
        <v>25</v>
      </c>
      <c r="G2" s="46" t="s">
        <v>26</v>
      </c>
      <c r="H2" s="46" t="s">
        <v>27</v>
      </c>
      <c r="I2" s="46" t="s">
        <v>28</v>
      </c>
      <c r="J2" s="48" t="s">
        <v>29</v>
      </c>
      <c r="K2" s="47" t="s">
        <v>30</v>
      </c>
      <c r="L2" s="49" t="s">
        <v>31</v>
      </c>
      <c r="M2" s="49" t="s">
        <v>32</v>
      </c>
      <c r="N2" s="50" t="s">
        <v>33</v>
      </c>
      <c r="O2" s="51"/>
      <c r="P2" s="52" t="s">
        <v>20</v>
      </c>
      <c r="Q2" s="53" t="s">
        <v>34</v>
      </c>
      <c r="R2" s="50" t="s">
        <v>35</v>
      </c>
      <c r="S2" s="54" t="s">
        <v>36</v>
      </c>
      <c r="T2" s="50" t="s">
        <v>37</v>
      </c>
      <c r="U2" s="46" t="s">
        <v>38</v>
      </c>
      <c r="V2" s="46" t="s">
        <v>39</v>
      </c>
      <c r="W2" s="46" t="s">
        <v>40</v>
      </c>
      <c r="X2" s="47" t="s">
        <v>41</v>
      </c>
      <c r="Y2" s="46" t="s">
        <v>42</v>
      </c>
      <c r="Z2" s="46" t="s">
        <v>43</v>
      </c>
      <c r="AA2" s="46" t="s">
        <v>44</v>
      </c>
      <c r="AB2" s="46" t="s">
        <v>45</v>
      </c>
      <c r="AC2" s="46" t="s">
        <v>46</v>
      </c>
      <c r="AD2" s="47" t="s">
        <v>47</v>
      </c>
      <c r="AE2" s="47" t="s">
        <v>48</v>
      </c>
      <c r="AF2" s="49" t="s">
        <v>49</v>
      </c>
      <c r="AG2" s="46" t="s">
        <v>50</v>
      </c>
      <c r="AH2" s="46" t="s">
        <v>51</v>
      </c>
    </row>
    <row r="3" spans="1:34" ht="24.75" customHeight="1" x14ac:dyDescent="0.35">
      <c r="A3" s="45" t="s">
        <v>34</v>
      </c>
      <c r="B3" s="55"/>
      <c r="C3" s="56" t="s">
        <v>52</v>
      </c>
      <c r="D3" s="56" t="s">
        <v>52</v>
      </c>
      <c r="E3" s="56" t="s">
        <v>21</v>
      </c>
      <c r="F3" s="56" t="s">
        <v>21</v>
      </c>
      <c r="G3" s="56" t="s">
        <v>21</v>
      </c>
      <c r="H3" s="56" t="s">
        <v>52</v>
      </c>
      <c r="I3" s="56" t="s">
        <v>52</v>
      </c>
      <c r="J3" s="56" t="s">
        <v>21</v>
      </c>
      <c r="K3" s="56" t="s">
        <v>21</v>
      </c>
      <c r="L3" s="57" t="s">
        <v>21</v>
      </c>
      <c r="M3" s="57" t="s">
        <v>21</v>
      </c>
      <c r="N3" s="50"/>
      <c r="O3" s="51" t="s">
        <v>53</v>
      </c>
      <c r="P3" s="52"/>
      <c r="Q3" s="53"/>
      <c r="R3" s="74"/>
      <c r="S3" s="58"/>
      <c r="T3" s="59"/>
      <c r="U3" s="55"/>
      <c r="V3" s="56" t="s">
        <v>38</v>
      </c>
      <c r="W3" s="56" t="s">
        <v>38</v>
      </c>
      <c r="X3" s="56" t="s">
        <v>38</v>
      </c>
      <c r="Y3" s="56" t="s">
        <v>38</v>
      </c>
      <c r="Z3" s="56" t="s">
        <v>38</v>
      </c>
      <c r="AA3" s="56" t="s">
        <v>38</v>
      </c>
      <c r="AB3" s="56" t="s">
        <v>54</v>
      </c>
      <c r="AC3" s="56" t="s">
        <v>38</v>
      </c>
      <c r="AD3" s="56" t="s">
        <v>38</v>
      </c>
      <c r="AE3" s="56" t="s">
        <v>38</v>
      </c>
      <c r="AF3" s="57" t="s">
        <v>38</v>
      </c>
      <c r="AG3" s="56"/>
      <c r="AH3" s="56"/>
    </row>
    <row r="4" spans="1:34" ht="24.75" customHeight="1" x14ac:dyDescent="0.35">
      <c r="A4" s="72" t="s">
        <v>55</v>
      </c>
      <c r="B4" s="72"/>
      <c r="C4" s="56"/>
      <c r="D4" s="56"/>
      <c r="E4" s="56"/>
      <c r="F4" s="56"/>
      <c r="G4" s="56"/>
      <c r="H4" s="56"/>
      <c r="I4" s="56"/>
      <c r="J4" s="56"/>
      <c r="K4" s="56"/>
      <c r="L4" s="57"/>
      <c r="M4" s="57"/>
      <c r="N4" s="50"/>
      <c r="O4" s="51"/>
      <c r="P4" s="73"/>
      <c r="Q4" s="53"/>
      <c r="R4" s="74"/>
      <c r="S4" s="58"/>
      <c r="T4" s="59"/>
      <c r="U4" s="55">
        <f>B4</f>
        <v>0</v>
      </c>
      <c r="V4" s="56"/>
      <c r="W4" s="56"/>
      <c r="X4" s="56"/>
      <c r="Y4" s="56"/>
      <c r="Z4" s="56"/>
      <c r="AA4" s="56"/>
      <c r="AB4" s="56"/>
      <c r="AC4" s="56"/>
      <c r="AD4" s="56"/>
      <c r="AE4" s="56"/>
      <c r="AF4" s="57"/>
      <c r="AG4" s="56">
        <f>U4</f>
        <v>0</v>
      </c>
      <c r="AH4" s="56">
        <f>U4</f>
        <v>0</v>
      </c>
    </row>
    <row r="5" spans="1:34" x14ac:dyDescent="0.35">
      <c r="C5" s="14"/>
      <c r="D5" s="14"/>
      <c r="E5" s="14"/>
      <c r="F5" s="14"/>
      <c r="G5" s="14"/>
      <c r="H5" s="14"/>
      <c r="I5" s="14"/>
      <c r="J5" s="14"/>
      <c r="K5" s="14"/>
      <c r="L5" s="14"/>
      <c r="M5" s="14"/>
      <c r="N5" s="23">
        <f>SUM(C5:M5)</f>
        <v>0</v>
      </c>
      <c r="O5" s="10" t="s">
        <v>56</v>
      </c>
      <c r="P5" s="62" t="s">
        <v>57</v>
      </c>
      <c r="Q5" s="63"/>
      <c r="R5" s="63"/>
      <c r="S5" s="24">
        <f>SUM(V5:AF5)</f>
        <v>20167.123164382174</v>
      </c>
      <c r="T5" s="37"/>
      <c r="U5" s="61"/>
      <c r="V5" s="14">
        <f>-(C6+C5)</f>
        <v>817.40547836425571</v>
      </c>
      <c r="W5" s="14">
        <f>-(D6+D5)</f>
        <v>9399.3126755498433</v>
      </c>
      <c r="X5" s="14"/>
      <c r="Y5" s="14">
        <f>-(F6+F5)</f>
        <v>4902.910364323393</v>
      </c>
      <c r="Z5" s="14">
        <f>-(G6+G5)</f>
        <v>256.67573795574464</v>
      </c>
      <c r="AA5" s="14"/>
      <c r="AB5" s="14"/>
      <c r="AC5" s="14">
        <f>-(J6+J5)</f>
        <v>4790.8189081889377</v>
      </c>
      <c r="AD5" s="14"/>
      <c r="AE5" s="14"/>
      <c r="AF5" s="14"/>
      <c r="AG5" s="14"/>
      <c r="AH5" s="14"/>
    </row>
    <row r="6" spans="1:34" x14ac:dyDescent="0.35">
      <c r="C6" s="14">
        <f>-V6</f>
        <v>-817.40547836425571</v>
      </c>
      <c r="D6" s="14">
        <f>-W6</f>
        <v>-9399.3126755498433</v>
      </c>
      <c r="E6" s="14"/>
      <c r="F6" s="14">
        <f>-Y6</f>
        <v>-4902.910364323393</v>
      </c>
      <c r="G6" s="14">
        <f>-Z6</f>
        <v>-256.67573795574464</v>
      </c>
      <c r="H6" s="14"/>
      <c r="I6" s="14"/>
      <c r="J6" s="14">
        <f>-AC6</f>
        <v>-4790.8189081889377</v>
      </c>
      <c r="K6" s="14"/>
      <c r="L6" s="18"/>
      <c r="M6" s="18"/>
      <c r="N6" s="23">
        <f t="shared" ref="N6:N15" si="0">SUM(C6:M6)</f>
        <v>-20167.123164382174</v>
      </c>
      <c r="O6" s="22" t="s">
        <v>58</v>
      </c>
      <c r="P6" s="65" t="s">
        <v>59</v>
      </c>
      <c r="Q6" s="66"/>
      <c r="R6" s="66"/>
      <c r="S6" s="24">
        <f t="shared" ref="S6:S25" si="1">SUM(V6:AF6)</f>
        <v>20167.123164382174</v>
      </c>
      <c r="T6" s="37"/>
      <c r="U6" s="61"/>
      <c r="V6" s="14">
        <f>-(C16+C8)</f>
        <v>817.40547836425571</v>
      </c>
      <c r="W6" s="14">
        <f>-(D16+D8)</f>
        <v>9399.3126755498433</v>
      </c>
      <c r="X6" s="14"/>
      <c r="Y6" s="14">
        <f>-(F16+F8)</f>
        <v>4902.910364323393</v>
      </c>
      <c r="Z6" s="14">
        <f>-(G16+G8)</f>
        <v>256.67573795574464</v>
      </c>
      <c r="AA6" s="14"/>
      <c r="AB6" s="14"/>
      <c r="AC6" s="14">
        <f>-(J16+J8)</f>
        <v>4790.8189081889377</v>
      </c>
      <c r="AD6" s="14"/>
      <c r="AE6" s="14"/>
      <c r="AF6" s="14"/>
      <c r="AG6" s="21">
        <f>-(N6+S6)</f>
        <v>0</v>
      </c>
      <c r="AH6" s="21"/>
    </row>
    <row r="7" spans="1:34" x14ac:dyDescent="0.35"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23">
        <f t="shared" si="0"/>
        <v>0</v>
      </c>
      <c r="O7" s="22" t="s">
        <v>60</v>
      </c>
      <c r="P7" s="67" t="s">
        <v>61</v>
      </c>
      <c r="Q7" s="66"/>
      <c r="R7" s="66"/>
      <c r="S7" s="24">
        <f t="shared" si="1"/>
        <v>3075.6177421481084</v>
      </c>
      <c r="T7" s="37"/>
      <c r="U7" s="61"/>
      <c r="V7" s="14"/>
      <c r="W7" s="14"/>
      <c r="X7" s="14"/>
      <c r="Y7" s="14"/>
      <c r="Z7" s="16"/>
      <c r="AA7" s="19">
        <f>-H8</f>
        <v>2657.8637778128432</v>
      </c>
      <c r="AB7" s="19">
        <f>-I8</f>
        <v>417.75396433526538</v>
      </c>
      <c r="AC7" s="14"/>
      <c r="AD7" s="14"/>
      <c r="AE7" s="14"/>
      <c r="AF7" s="14"/>
      <c r="AG7" s="14"/>
      <c r="AH7" s="14"/>
    </row>
    <row r="8" spans="1:34" x14ac:dyDescent="0.35">
      <c r="C8" s="14">
        <f>SUM(C9:C13)</f>
        <v>-317.99384066550761</v>
      </c>
      <c r="D8" s="14">
        <f t="shared" ref="D8:M8" si="2">SUM(D9:D13)</f>
        <v>-9350.3220107858906</v>
      </c>
      <c r="E8" s="14">
        <f t="shared" si="2"/>
        <v>-1345.5391126796953</v>
      </c>
      <c r="F8" s="14">
        <f t="shared" si="2"/>
        <v>-2931.2107263805801</v>
      </c>
      <c r="G8" s="14">
        <f t="shared" si="2"/>
        <v>-256.67573795574464</v>
      </c>
      <c r="H8" s="14">
        <f t="shared" si="2"/>
        <v>-2657.8637778128432</v>
      </c>
      <c r="I8" s="14">
        <f t="shared" si="2"/>
        <v>-417.75396433526538</v>
      </c>
      <c r="J8" s="14">
        <f t="shared" si="2"/>
        <v>-817.69034438206972</v>
      </c>
      <c r="K8" s="14">
        <f t="shared" si="2"/>
        <v>-187.92153599999966</v>
      </c>
      <c r="L8" s="14">
        <f t="shared" si="2"/>
        <v>0</v>
      </c>
      <c r="M8" s="14">
        <f t="shared" si="2"/>
        <v>0</v>
      </c>
      <c r="N8" s="23">
        <f t="shared" si="0"/>
        <v>-18282.971050997596</v>
      </c>
      <c r="O8" s="22" t="s">
        <v>62</v>
      </c>
      <c r="P8" s="67" t="s">
        <v>63</v>
      </c>
      <c r="Q8" s="66"/>
      <c r="R8" s="66"/>
      <c r="S8" s="24">
        <f t="shared" si="1"/>
        <v>13401.326528406244</v>
      </c>
      <c r="T8" s="37"/>
      <c r="U8" s="61"/>
      <c r="V8" s="14">
        <f>SUM(V9:V13)</f>
        <v>0</v>
      </c>
      <c r="W8" s="14"/>
      <c r="X8" s="14">
        <f>(E14+E8)*-1</f>
        <v>9015.470255343751</v>
      </c>
      <c r="Y8" s="14"/>
      <c r="Z8" s="14"/>
      <c r="AA8" s="14"/>
      <c r="AB8" s="14"/>
      <c r="AC8" s="14"/>
      <c r="AD8" s="14">
        <f>(K14+K8)*-1</f>
        <v>4385.8562730624917</v>
      </c>
      <c r="AE8" s="14">
        <f>(L14+L8)*-1</f>
        <v>0</v>
      </c>
      <c r="AF8" s="14"/>
      <c r="AG8" s="21">
        <f>-(N8+S8)</f>
        <v>4881.6445225913521</v>
      </c>
      <c r="AH8" s="21">
        <f>SUM(AH9:AH13)</f>
        <v>299.54939883057318</v>
      </c>
    </row>
    <row r="9" spans="1:34" x14ac:dyDescent="0.35">
      <c r="C9" s="26">
        <f>-($AD$9+$H$9+$I$9)/$T$9*' KF Non-OECD Americas'!$H109</f>
        <v>-293.33123266550763</v>
      </c>
      <c r="D9" s="26">
        <f>-($AD$9+$H$9+$I$9)/$T$9*' KF Non-OECD Americas'!$H110</f>
        <v>-92.947861585470264</v>
      </c>
      <c r="E9" s="26">
        <f>-($AD$9+$H$9+$I$9)/$T$9*' KF Non-OECD Americas'!$H111</f>
        <v>-844.08004067969546</v>
      </c>
      <c r="F9" s="26">
        <f>-($AD$9+$H$9+$I$9)/$T$9*' KF Non-OECD Americas'!$H112</f>
        <v>-1947.8468063805803</v>
      </c>
      <c r="G9" s="26">
        <f>-($AD$9+$H$9+$I$9)/$T$9*' KF Non-OECD Americas'!$H113</f>
        <v>-256.67573795574464</v>
      </c>
      <c r="H9" s="26">
        <f>AD9*' KF Non-OECD Americas'!H94*-1</f>
        <v>-2657.8637778128432</v>
      </c>
      <c r="I9" s="26">
        <f>AD9*' KF Non-OECD Americas'!H95*-1</f>
        <v>-417.75396433526538</v>
      </c>
      <c r="J9" s="26">
        <f>-($AD$9+$H$9+$I$9)/$T$9*' KF Non-OECD Americas'!$H114</f>
        <v>-215.61285638206974</v>
      </c>
      <c r="K9" s="25"/>
      <c r="L9" s="25"/>
      <c r="M9" s="25"/>
      <c r="N9" s="23">
        <f t="shared" si="0"/>
        <v>-6726.1122777971768</v>
      </c>
      <c r="O9" s="6" t="s">
        <v>64</v>
      </c>
      <c r="P9" s="68" t="s">
        <v>65</v>
      </c>
      <c r="Q9" s="69" t="s">
        <v>63</v>
      </c>
      <c r="R9" s="69"/>
      <c r="S9" s="24">
        <f t="shared" si="1"/>
        <v>4385.8562730624917</v>
      </c>
      <c r="T9" s="37">
        <f>' KF Non-OECD Americas'!H104</f>
        <v>0.35892083062149249</v>
      </c>
      <c r="U9" s="61"/>
      <c r="V9" s="28"/>
      <c r="W9" s="28"/>
      <c r="X9" s="28"/>
      <c r="Y9" s="28"/>
      <c r="Z9" s="28"/>
      <c r="AA9" s="28"/>
      <c r="AB9" s="28"/>
      <c r="AC9" s="28"/>
      <c r="AD9" s="28">
        <f>AD8-AD10</f>
        <v>4385.8562730624917</v>
      </c>
      <c r="AE9" s="28"/>
      <c r="AF9" s="28"/>
      <c r="AG9" s="29">
        <f>-(S9+N9)</f>
        <v>2340.2560047346851</v>
      </c>
      <c r="AH9" s="29">
        <f>-(C9*Emissionsfaktorer!$B$2*(1-' KF Non-OECD Americas'!H134)+D9*Emissionsfaktorer!$B$3+E9*Emissionsfaktorer!$B$4*(1-' KF Non-OECD Americas'!H135)+F9*Emissionsfaktorer!$B$5*(1-' KF Non-OECD Americas'!H136)+G9*Emissionsfaktorer!$B$6+H9*Emissionsfaktorer!$B$7+I9*Emissionsfaktorer!$B$8-J9*Emissionsfaktorer!B13*' KF Non-OECD Americas'!H137+K9*Emissionsfaktorer!$B$10+L9*Emissionsfaktorer!$B$11+M9*Emissionsfaktorer!$B$12)</f>
        <v>203.04381815857317</v>
      </c>
    </row>
    <row r="10" spans="1:34" x14ac:dyDescent="0.35">
      <c r="C10" s="26">
        <f>-($AD$10+$AE$10+$H$10+$I$10)/$T$10*' KF Non-OECD Americas'!$H116</f>
        <v>0</v>
      </c>
      <c r="D10" s="26">
        <f>-($AD$10+$AE$10+$H$10+$I$10)/$T$10*' KF Non-OECD Americas'!$H117</f>
        <v>0</v>
      </c>
      <c r="E10" s="26">
        <f>-($AD$10+$AE$10+$H$10+$I$10)/$T$10*' KF Non-OECD Americas'!$H118</f>
        <v>0</v>
      </c>
      <c r="F10" s="26">
        <f>-($AD$10+$AE$10+$H$10+$I$10)/$T$10*' KF Non-OECD Americas'!$H119</f>
        <v>0</v>
      </c>
      <c r="G10" s="26">
        <f>-($AD$10+$AE$10+$H$10+$I$10)/$T$10*' KF Non-OECD Americas'!$H120</f>
        <v>0</v>
      </c>
      <c r="H10" s="26"/>
      <c r="I10" s="26">
        <f>(AD10+AE10)*' KF Non-OECD Americas'!H98*-1</f>
        <v>0</v>
      </c>
      <c r="J10" s="26">
        <f>-($AD$10+$AE$10+$H$10+$I$10)/$T$10*' KF Non-OECD Americas'!$H121</f>
        <v>0</v>
      </c>
      <c r="K10" s="25"/>
      <c r="L10" s="25"/>
      <c r="M10" s="25"/>
      <c r="N10" s="23">
        <f t="shared" si="0"/>
        <v>0</v>
      </c>
      <c r="O10" s="6" t="s">
        <v>66</v>
      </c>
      <c r="P10" s="68" t="s">
        <v>67</v>
      </c>
      <c r="Q10" s="69" t="s">
        <v>63</v>
      </c>
      <c r="R10" s="69"/>
      <c r="S10" s="24">
        <f t="shared" si="1"/>
        <v>0</v>
      </c>
      <c r="T10" s="37">
        <f>' KF Non-OECD Americas'!H105</f>
        <v>0.46959029035070071</v>
      </c>
      <c r="U10" s="61"/>
      <c r="V10" s="28"/>
      <c r="W10" s="28"/>
      <c r="X10" s="28"/>
      <c r="Y10" s="28"/>
      <c r="Z10" s="28"/>
      <c r="AA10" s="28"/>
      <c r="AB10" s="28"/>
      <c r="AC10" s="28"/>
      <c r="AD10" s="28">
        <f>AE10*' KF Non-OECD Americas'!H90</f>
        <v>0</v>
      </c>
      <c r="AE10" s="28">
        <f>AE8*' KF Non-OECD Americas'!H85</f>
        <v>0</v>
      </c>
      <c r="AF10" s="28"/>
      <c r="AG10" s="29">
        <f t="shared" ref="AG10:AG11" si="3">-(S10+N10)</f>
        <v>0</v>
      </c>
      <c r="AH10" s="29">
        <f>-(C10*Emissionsfaktorer!$B$2*(1-' KF Non-OECD Americas'!H135)+D10*Emissionsfaktorer!$B$3+E10*Emissionsfaktorer!$B$4*(1-' KF Non-OECD Americas'!H136)+F10*Emissionsfaktorer!$B$5*(1-' KF Non-OECD Americas'!H137)+G10*Emissionsfaktorer!$B$6+H10*Emissionsfaktorer!$B$7+I10*Emissionsfaktorer!$B$8-J10*Emissionsfaktorer!B14*' KF Non-OECD Americas'!H142+K10*Emissionsfaktorer!$B$10+L10*Emissionsfaktorer!$B$11+M10*Emissionsfaktorer!$B$12)</f>
        <v>0</v>
      </c>
    </row>
    <row r="11" spans="1:34" x14ac:dyDescent="0.35">
      <c r="C11" s="26">
        <f>-($AE$11+$H$11+$I$11)/IF($T$11=0,1,$T$11)*' KF Non-OECD Americas'!$H123</f>
        <v>0</v>
      </c>
      <c r="D11" s="26">
        <f>-($AE$11+$H$11+$I$11)/IF($T$11=0,1,$T$11)*' KF Non-OECD Americas'!$H123</f>
        <v>0</v>
      </c>
      <c r="E11" s="26">
        <f>-($AE$11+$H$11+$I$11)/IF($T$11=0,1,$T$11)*' KF Non-OECD Americas'!$H123</f>
        <v>0</v>
      </c>
      <c r="F11" s="26">
        <f>-($AE$11+$H$11+$I$11)/IF($T$11=0,1,$T$11)*' KF Non-OECD Americas'!$H123</f>
        <v>0</v>
      </c>
      <c r="G11" s="26">
        <f>-($AE$11+$H$11+$I$11)/IF($T$11=0,1,T11)*' KF Non-OECD Americas'!$H127</f>
        <v>0</v>
      </c>
      <c r="H11" s="26"/>
      <c r="I11" s="26">
        <f>AE11*' KF Non-OECD Americas'!H101*-1</f>
        <v>0</v>
      </c>
      <c r="J11" s="26">
        <f>-($AE$11+$H$11+$I$11)/IF($T$11=0,1,T11)*' KF Non-OECD Americas'!$H128</f>
        <v>0</v>
      </c>
      <c r="K11" s="28">
        <f>AE11*' KF Non-OECD Americas'!H88*-1</f>
        <v>0</v>
      </c>
      <c r="L11" s="25"/>
      <c r="M11" s="25"/>
      <c r="N11" s="23">
        <f t="shared" si="0"/>
        <v>0</v>
      </c>
      <c r="O11" s="6" t="s">
        <v>68</v>
      </c>
      <c r="P11" s="64" t="s">
        <v>69</v>
      </c>
      <c r="Q11" s="69" t="s">
        <v>63</v>
      </c>
      <c r="R11" s="69"/>
      <c r="S11" s="24">
        <f t="shared" si="1"/>
        <v>0</v>
      </c>
      <c r="T11" s="37">
        <f>' KF Non-OECD Americas'!H106</f>
        <v>0</v>
      </c>
      <c r="U11" s="61"/>
      <c r="V11" s="28"/>
      <c r="W11" s="28"/>
      <c r="X11" s="28"/>
      <c r="Y11" s="28"/>
      <c r="Z11" s="28"/>
      <c r="AA11" s="28"/>
      <c r="AB11" s="28"/>
      <c r="AC11" s="28"/>
      <c r="AD11" s="28"/>
      <c r="AE11" s="28">
        <f>AE8*' KF Non-OECD Americas'!H86</f>
        <v>0</v>
      </c>
      <c r="AF11" s="28"/>
      <c r="AG11" s="29">
        <f t="shared" si="3"/>
        <v>0</v>
      </c>
      <c r="AH11" s="29">
        <f>-(C11*Emissionsfaktorer!$B$2+D11*Emissionsfaktorer!$B$3+E11*Emissionsfaktorer!$B$4+F11*Emissionsfaktorer!$B$5+G11*Emissionsfaktorer!$B$6+H11*Emissionsfaktorer!$B$7+I11*Emissionsfaktorer!$B$8+J11*Emissionsfaktorer!$B$9+K11*Emissionsfaktorer!$B$10+L11*Emissionsfaktorer!$B$11+M11*Emissionsfaktorer!$B$12)</f>
        <v>0</v>
      </c>
    </row>
    <row r="12" spans="1:34" x14ac:dyDescent="0.35">
      <c r="C12" s="26"/>
      <c r="D12" s="26">
        <f>-X12/T12*' KF Non-OECD Americas'!H130</f>
        <v>-9237.9455412004208</v>
      </c>
      <c r="E12" s="25"/>
      <c r="F12" s="26"/>
      <c r="G12" s="26"/>
      <c r="H12" s="26"/>
      <c r="I12" s="26"/>
      <c r="J12" s="27">
        <f>-X12/T12*' KF Non-OECD Americas'!H131</f>
        <v>0</v>
      </c>
      <c r="K12" s="25"/>
      <c r="L12" s="25"/>
      <c r="M12" s="25"/>
      <c r="N12" s="23">
        <f t="shared" si="0"/>
        <v>-9237.9455412004208</v>
      </c>
      <c r="O12" s="6" t="s">
        <v>70</v>
      </c>
      <c r="P12" s="64" t="s">
        <v>71</v>
      </c>
      <c r="Q12" s="69" t="s">
        <v>63</v>
      </c>
      <c r="R12" s="69"/>
      <c r="S12" s="24">
        <f t="shared" si="1"/>
        <v>9015.470255343751</v>
      </c>
      <c r="T12" s="37">
        <f>' KF Non-OECD Americas'!H107</f>
        <v>0.97591723345148007</v>
      </c>
      <c r="U12" s="61"/>
      <c r="V12" s="28"/>
      <c r="W12" s="28"/>
      <c r="X12" s="28">
        <f>-(E9+E10+E11+E13+E14)</f>
        <v>9015.470255343751</v>
      </c>
      <c r="Y12" s="28"/>
      <c r="Z12" s="28"/>
      <c r="AA12" s="28"/>
      <c r="AB12" s="28"/>
      <c r="AC12" s="28"/>
      <c r="AD12" s="28"/>
      <c r="AE12" s="28"/>
      <c r="AF12" s="28"/>
      <c r="AG12" s="29">
        <f>-(S12+N12)</f>
        <v>222.47528585666987</v>
      </c>
      <c r="AH12" s="29">
        <f>J12*Emissionsfaktorer!B4</f>
        <v>0</v>
      </c>
    </row>
    <row r="13" spans="1:34" x14ac:dyDescent="0.35">
      <c r="C13" s="28">
        <f>N13*' KF Non-OECD Americas'!H79</f>
        <v>-24.662607999999999</v>
      </c>
      <c r="D13" s="28">
        <f>N13*' KF Non-OECD Americas'!H81</f>
        <v>-19.428608000000001</v>
      </c>
      <c r="E13" s="28">
        <f>N13*' KF Non-OECD Americas'!H82</f>
        <v>-501.45907199999999</v>
      </c>
      <c r="F13" s="28">
        <f>N13*' KF Non-OECD Americas'!H80</f>
        <v>-983.36391999999989</v>
      </c>
      <c r="G13" s="28"/>
      <c r="H13" s="28"/>
      <c r="I13" s="28"/>
      <c r="J13" s="36">
        <f>N13*' KF Non-OECD Americas'!H83</f>
        <v>-602.07748800000002</v>
      </c>
      <c r="K13" s="28">
        <f>N13*' KF Non-OECD Americas'!H77</f>
        <v>-187.92153599999966</v>
      </c>
      <c r="L13" s="28">
        <f>N13*' KF Non-OECD Americas'!H78</f>
        <v>0</v>
      </c>
      <c r="M13" s="25"/>
      <c r="N13" s="23">
        <f>N16*' KF Non-OECD Americas'!H75</f>
        <v>-2318.9132319999999</v>
      </c>
      <c r="O13" s="6" t="s">
        <v>72</v>
      </c>
      <c r="P13" s="64" t="s">
        <v>73</v>
      </c>
      <c r="Q13" s="69" t="s">
        <v>63</v>
      </c>
      <c r="R13" s="69"/>
      <c r="S13" s="24">
        <f t="shared" si="1"/>
        <v>0</v>
      </c>
      <c r="T13" s="37">
        <v>0</v>
      </c>
      <c r="U13" s="61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9">
        <f>-(S13+N13)</f>
        <v>2318.9132319999999</v>
      </c>
      <c r="AH13" s="29">
        <f>-(C13*Emissionsfaktorer!$B$2+D13*Emissionsfaktorer!$B$3+E13*Emissionsfaktorer!$B$4+F13*Emissionsfaktorer!$B$5+G13*Emissionsfaktorer!$B$6+H13*Emissionsfaktorer!$B$7+I13*Emissionsfaktorer!$B$8+J13*Emissionsfaktorer!$B$9+K13*Emissionsfaktorer!$B$10+L13*Emissionsfaktorer!$B$11+M13*Emissionsfaktorer!$B$12)</f>
        <v>96.505580671999994</v>
      </c>
    </row>
    <row r="14" spans="1:34" x14ac:dyDescent="0.35">
      <c r="C14" s="15"/>
      <c r="D14" s="15"/>
      <c r="E14" s="16">
        <f>-X14*1</f>
        <v>-7669.9311426640552</v>
      </c>
      <c r="F14" s="15"/>
      <c r="G14" s="15"/>
      <c r="H14" s="15"/>
      <c r="I14" s="15"/>
      <c r="J14" s="20"/>
      <c r="K14" s="16">
        <f>-AD14*(1+' KF Non-OECD Americas'!H72)</f>
        <v>-4197.9347370624919</v>
      </c>
      <c r="L14" s="16">
        <f>-AE14*(1+' KF Non-OECD Americas'!H73)</f>
        <v>0</v>
      </c>
      <c r="M14" s="16"/>
      <c r="N14" s="23">
        <f t="shared" si="0"/>
        <v>-11867.865879726547</v>
      </c>
      <c r="O14" s="22" t="s">
        <v>74</v>
      </c>
      <c r="P14" s="66" t="s">
        <v>75</v>
      </c>
      <c r="Q14" s="70"/>
      <c r="R14" s="70"/>
      <c r="S14" s="24">
        <f t="shared" si="1"/>
        <v>11165.076626054841</v>
      </c>
      <c r="T14" s="37"/>
      <c r="U14" s="61"/>
      <c r="V14" s="16"/>
      <c r="W14" s="16"/>
      <c r="X14" s="16">
        <f>-E16</f>
        <v>7669.9311426640552</v>
      </c>
      <c r="Y14" s="16"/>
      <c r="Z14" s="16"/>
      <c r="AA14" s="16"/>
      <c r="AB14" s="16"/>
      <c r="AC14" s="16"/>
      <c r="AD14" s="16">
        <f>-K16</f>
        <v>3495.145483390786</v>
      </c>
      <c r="AE14" s="16">
        <f>-L16</f>
        <v>0</v>
      </c>
      <c r="AF14" s="16"/>
      <c r="AG14" s="21">
        <f>-(N14+S14)</f>
        <v>702.78925367170632</v>
      </c>
      <c r="AH14" s="21"/>
    </row>
    <row r="15" spans="1:34" x14ac:dyDescent="0.35"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23">
        <f t="shared" si="0"/>
        <v>0</v>
      </c>
      <c r="O15" s="22" t="s">
        <v>76</v>
      </c>
      <c r="P15" s="67" t="s">
        <v>77</v>
      </c>
      <c r="Q15" s="66"/>
      <c r="R15" s="66"/>
      <c r="S15" s="24">
        <f t="shared" si="1"/>
        <v>39.602301852081474</v>
      </c>
      <c r="T15" s="37"/>
      <c r="U15" s="61"/>
      <c r="V15" s="14"/>
      <c r="W15" s="14"/>
      <c r="X15" s="14"/>
      <c r="Y15" s="14"/>
      <c r="Z15" s="14"/>
      <c r="AA15" s="14"/>
      <c r="AB15" s="14">
        <f>I16*-1</f>
        <v>39.602301852081474</v>
      </c>
      <c r="AC15" s="14"/>
      <c r="AD15" s="14"/>
      <c r="AE15" s="14"/>
      <c r="AF15" s="14"/>
      <c r="AG15" s="14"/>
      <c r="AH15" s="14"/>
    </row>
    <row r="16" spans="1:34" x14ac:dyDescent="0.35">
      <c r="C16" s="14">
        <f t="shared" ref="C16:M16" si="4">SUM(C17:C19)</f>
        <v>-499.41163769874817</v>
      </c>
      <c r="D16" s="14">
        <f t="shared" si="4"/>
        <v>-48.99066476395349</v>
      </c>
      <c r="E16" s="14">
        <f t="shared" si="4"/>
        <v>-7669.9311426640552</v>
      </c>
      <c r="F16" s="14">
        <f t="shared" si="4"/>
        <v>-1971.6996379428126</v>
      </c>
      <c r="G16" s="14">
        <f t="shared" si="4"/>
        <v>0</v>
      </c>
      <c r="H16" s="14">
        <f t="shared" si="4"/>
        <v>0</v>
      </c>
      <c r="I16" s="14">
        <f t="shared" si="4"/>
        <v>-39.602301852081474</v>
      </c>
      <c r="J16" s="14">
        <f t="shared" si="4"/>
        <v>-3973.1285638068675</v>
      </c>
      <c r="K16" s="14">
        <f t="shared" si="4"/>
        <v>-3495.145483390786</v>
      </c>
      <c r="L16" s="14">
        <f t="shared" si="4"/>
        <v>0</v>
      </c>
      <c r="M16" s="14">
        <f t="shared" si="4"/>
        <v>0</v>
      </c>
      <c r="N16" s="23">
        <f>' KF Non-OECD Americas'!H5</f>
        <v>-17698.205728000001</v>
      </c>
      <c r="O16" s="10" t="s">
        <v>78</v>
      </c>
      <c r="P16" s="71" t="s">
        <v>79</v>
      </c>
      <c r="Q16" s="71"/>
      <c r="R16" s="71"/>
      <c r="S16" s="24">
        <f t="shared" si="1"/>
        <v>10986.521889627493</v>
      </c>
      <c r="T16" s="37"/>
      <c r="U16" s="61"/>
      <c r="V16" s="14"/>
      <c r="W16" s="14"/>
      <c r="X16" s="14"/>
      <c r="Y16" s="14"/>
      <c r="Z16" s="14"/>
      <c r="AA16" s="14"/>
      <c r="AB16" s="14"/>
      <c r="AC16" s="14"/>
      <c r="AD16" s="14"/>
      <c r="AE16" s="14"/>
      <c r="AF16" s="14">
        <f>SUM(AF17:AF19)</f>
        <v>10986.521889627493</v>
      </c>
      <c r="AG16" s="14">
        <f t="shared" ref="AG16:AH16" si="5">SUM(AG17:AG19)</f>
        <v>6711.3875424918115</v>
      </c>
      <c r="AH16" s="14">
        <f t="shared" si="5"/>
        <v>742.74575178658961</v>
      </c>
    </row>
    <row r="17" spans="3:34" x14ac:dyDescent="0.35">
      <c r="C17" s="25">
        <f>AF17*' KF Non-OECD Americas'!H15/T17*' KF Non-OECD Americas'!H139/' KF Non-OECD Americas'!H$139*-1</f>
        <v>-496.77371517909762</v>
      </c>
      <c r="D17" s="25">
        <f>AF17*' KF Non-OECD Americas'!H16/T17*' KF Non-OECD Americas'!H139/' KF Non-OECD Americas'!H$139*-1</f>
        <v>-48.99066476395349</v>
      </c>
      <c r="E17" s="25">
        <f>AF17*' KF Non-OECD Americas'!H17/T17*' KF Non-OECD Americas'!H139/' KF Non-OECD Americas'!H$139*-1</f>
        <v>-863.28250892173423</v>
      </c>
      <c r="F17" s="25">
        <f>AF17*' KF Non-OECD Americas'!H18/T17*' KF Non-OECD Americas'!H139/' KF Non-OECD Americas'!H$139*-1</f>
        <v>-1039.3557955306439</v>
      </c>
      <c r="G17" s="25"/>
      <c r="H17" s="25"/>
      <c r="I17" s="25">
        <f>AF17*' KF Non-OECD Americas'!H19/T17*' KF Non-OECD Americas'!H142/' KF Non-OECD Americas'!H$142*-1</f>
        <v>0</v>
      </c>
      <c r="J17" s="25">
        <f>AF17*' KF Non-OECD Americas'!H20*' KF Non-OECD Americas'!H139/T17/' KF Non-OECD Americas'!H$139*-1</f>
        <v>-1699.1386200482636</v>
      </c>
      <c r="K17" s="25">
        <f>AF17*' KF Non-OECD Americas'!H21*' KF Non-OECD Americas'!H141/T17/' KF Non-OECD Americas'!H$141*-1</f>
        <v>-1336.6914455210997</v>
      </c>
      <c r="L17" s="25">
        <f>AF17*' KF Non-OECD Americas'!H22*' KF Non-OECD Americas'!H142/T17/' KF Non-OECD Americas'!H$142*-1</f>
        <v>0</v>
      </c>
      <c r="M17" s="25"/>
      <c r="N17" s="23">
        <f>SUM(C17:L17)</f>
        <v>-5484.2327499647927</v>
      </c>
      <c r="O17" s="6" t="s">
        <v>80</v>
      </c>
      <c r="P17" s="64" t="s">
        <v>81</v>
      </c>
      <c r="Q17" s="69" t="s">
        <v>79</v>
      </c>
      <c r="R17" s="69"/>
      <c r="S17" s="24">
        <f t="shared" si="1"/>
        <v>4587.8899167999998</v>
      </c>
      <c r="T17" s="37">
        <f>(' KF Non-OECD Americas'!H15+' KF Non-OECD Americas'!H16+' KF Non-OECD Americas'!H17+' KF Non-OECD Americas'!H18+' KF Non-OECD Americas'!H20)*' KF Non-OECD Americas'!H139+(' KF Non-OECD Americas'!H19+' KF Non-OECD Americas'!H22)*' KF Non-OECD Americas'!H142+' KF Non-OECD Americas'!H21*' KF Non-OECD Americas'!H141</f>
        <v>0.83656003054017947</v>
      </c>
      <c r="U17" s="61"/>
      <c r="V17" s="25"/>
      <c r="W17" s="25"/>
      <c r="X17" s="25"/>
      <c r="Y17" s="25"/>
      <c r="Z17" s="25"/>
      <c r="AA17" s="25"/>
      <c r="AB17" s="25"/>
      <c r="AC17" s="25"/>
      <c r="AD17" s="25"/>
      <c r="AE17" s="25"/>
      <c r="AF17" s="25">
        <f>' KF Non-OECD Americas'!H5*' KF Non-OECD Americas'!H7*((' KF Non-OECD Americas'!G15+' KF Non-OECD Americas'!G16+' KF Non-OECD Americas'!G17+' KF Non-OECD Americas'!G18+' KF Non-OECD Americas'!G20)*' KF Non-OECD Americas'!G139+(' KF Non-OECD Americas'!G19+' KF Non-OECD Americas'!G22)*' KF Non-OECD Americas'!G142+' KF Non-OECD Americas'!G21*' KF Non-OECD Americas'!G141)*-1</f>
        <v>4587.8899167999998</v>
      </c>
      <c r="AG17" s="25">
        <f>(S17+SUM(C17:M17))*-1</f>
        <v>896.34283316479286</v>
      </c>
      <c r="AH17" s="29">
        <f>-(C17*Emissionsfaktorer!$B$2+D17*Emissionsfaktorer!$B$3+E17*Emissionsfaktorer!$B$4+F17*Emissionsfaktorer!$B$5+G17*Emissionsfaktorer!$B$6+H17*Emissionsfaktorer!$B$7+I17*Emissionsfaktorer!$B$8+J17*Emissionsfaktorer!$B$9+K17*Emissionsfaktorer!$B$10+L17*Emissionsfaktorer!$B$11+M17*Emissionsfaktorer!$B$12)</f>
        <v>172.04625396531279</v>
      </c>
    </row>
    <row r="18" spans="3:34" x14ac:dyDescent="0.35">
      <c r="C18" s="25">
        <f>AF18*' KF Non-OECD Americas'!H24/T18*' KF Non-OECD Americas'!H140/' KF Non-OECD Americas'!H$140*-1</f>
        <v>0</v>
      </c>
      <c r="D18" s="25"/>
      <c r="E18" s="25">
        <f>AF18*' KF Non-OECD Americas'!H25/T18*' KF Non-OECD Americas'!H140/' KF Non-OECD Americas'!H$140*-1</f>
        <v>-5542.7278367440013</v>
      </c>
      <c r="F18" s="25">
        <f>AF18*' KF Non-OECD Americas'!H26/T18*' KF Non-OECD Americas'!H140/' KF Non-OECD Americas'!H$140*-1</f>
        <v>-320.56024655238843</v>
      </c>
      <c r="G18" s="25"/>
      <c r="H18" s="25"/>
      <c r="I18" s="25">
        <f>AF18*' KF Non-OECD Americas'!H27/T18*' KF Non-OECD Americas'!H142/' KF Non-OECD Americas'!H$142*-1</f>
        <v>0</v>
      </c>
      <c r="J18" s="25">
        <f>AF18*' KF Non-OECD Americas'!H28/T18*' KF Non-OECD Americas'!H140/' KF Non-OECD Americas'!H$140*-1</f>
        <v>-925.58840259758313</v>
      </c>
      <c r="K18" s="25">
        <f>AF18*' KF Non-OECD Americas'!H29/T18*' KF Non-OECD Americas'!H141/' KF Non-OECD Americas'!H$141*-1</f>
        <v>-14.068474770324254</v>
      </c>
      <c r="L18" s="25">
        <f>AF18*' KF Non-OECD Americas'!H30/T18*' KF Non-OECD Americas'!H142/' KF Non-OECD Americas'!H$142*-1</f>
        <v>0</v>
      </c>
      <c r="M18" s="25"/>
      <c r="N18" s="23">
        <f>SUM(C18:L18)</f>
        <v>-6802.9449606642966</v>
      </c>
      <c r="O18" s="6" t="s">
        <v>82</v>
      </c>
      <c r="P18" s="64" t="s">
        <v>83</v>
      </c>
      <c r="Q18" s="69" t="s">
        <v>79</v>
      </c>
      <c r="R18" s="69"/>
      <c r="S18" s="24">
        <f t="shared" si="1"/>
        <v>2050.0279968</v>
      </c>
      <c r="T18" s="37">
        <f>(' KF Non-OECD Americas'!H24+' KF Non-OECD Americas'!H25+' KF Non-OECD Americas'!H26+' KF Non-OECD Americas'!H28)*' KF Non-OECD Americas'!H140+(' KF Non-OECD Americas'!H27+' KF Non-OECD Americas'!H30)*' KF Non-OECD Americas'!H142+' KF Non-OECD Americas'!H29*' KF Non-OECD Americas'!H141</f>
        <v>0.3013441985277826</v>
      </c>
      <c r="U18" s="61"/>
      <c r="V18" s="25"/>
      <c r="W18" s="25"/>
      <c r="X18" s="25"/>
      <c r="Y18" s="25"/>
      <c r="Z18" s="25"/>
      <c r="AA18" s="25"/>
      <c r="AB18" s="25"/>
      <c r="AC18" s="25"/>
      <c r="AD18" s="25"/>
      <c r="AE18" s="25"/>
      <c r="AF18" s="25">
        <f>' KF Non-OECD Americas'!H5*' KF Non-OECD Americas'!H8*-1*((' KF Non-OECD Americas'!G24+' KF Non-OECD Americas'!G25+' KF Non-OECD Americas'!G26+' KF Non-OECD Americas'!G28)*' KF Non-OECD Americas'!G140+(' KF Non-OECD Americas'!G27+' KF Non-OECD Americas'!G30)*' KF Non-OECD Americas'!G142+' KF Non-OECD Americas'!G29*' KF Non-OECD Americas'!G141)</f>
        <v>2050.0279968</v>
      </c>
      <c r="AG18" s="25">
        <f>(S18+SUM(C18:M18))*-1</f>
        <v>4752.9169638642961</v>
      </c>
      <c r="AH18" s="29">
        <f>-(C18*Emissionsfaktorer!$B$2+D18*Emissionsfaktorer!$B$3+E18*Emissionsfaktorer!$B$4+F18*Emissionsfaktorer!$B$5+G18*Emissionsfaktorer!$B$6+H18*Emissionsfaktorer!$B$7+I18*Emissionsfaktorer!$B$8+J18*Emissionsfaktorer!$B$9+K18*Emissionsfaktorer!$B$10+L18*Emissionsfaktorer!$B$11+M18*Emissionsfaktorer!$B$12)</f>
        <v>439.51924964603023</v>
      </c>
    </row>
    <row r="19" spans="3:34" x14ac:dyDescent="0.35">
      <c r="C19" s="25">
        <f>SUM(C20:C24)</f>
        <v>-2.6379225196505725</v>
      </c>
      <c r="D19" s="25">
        <f t="shared" ref="D19:M19" si="6">SUM(D20:D24)</f>
        <v>0</v>
      </c>
      <c r="E19" s="25">
        <f t="shared" si="6"/>
        <v>-1263.9207969983202</v>
      </c>
      <c r="F19" s="25">
        <f t="shared" si="6"/>
        <v>-611.78359585978023</v>
      </c>
      <c r="G19" s="25">
        <f t="shared" si="6"/>
        <v>0</v>
      </c>
      <c r="H19" s="25">
        <f t="shared" si="6"/>
        <v>0</v>
      </c>
      <c r="I19" s="25">
        <f t="shared" si="6"/>
        <v>-39.602301852081474</v>
      </c>
      <c r="J19" s="25">
        <f t="shared" si="6"/>
        <v>-1348.4015411610205</v>
      </c>
      <c r="K19" s="25">
        <f t="shared" si="6"/>
        <v>-2144.3855630993621</v>
      </c>
      <c r="L19" s="25">
        <f t="shared" si="6"/>
        <v>0</v>
      </c>
      <c r="M19" s="25">
        <f t="shared" si="6"/>
        <v>0</v>
      </c>
      <c r="N19" s="23">
        <f>SUM(N20:N24)</f>
        <v>-5410.7317214902159</v>
      </c>
      <c r="O19" s="6" t="s">
        <v>84</v>
      </c>
      <c r="P19" s="64" t="s">
        <v>85</v>
      </c>
      <c r="Q19" s="69" t="s">
        <v>79</v>
      </c>
      <c r="R19" s="69"/>
      <c r="S19" s="24">
        <f t="shared" si="1"/>
        <v>4348.6039760274925</v>
      </c>
      <c r="T19" s="37">
        <v>0.8</v>
      </c>
      <c r="U19" s="61"/>
      <c r="V19" s="25">
        <f>SUM(V20:V24)</f>
        <v>0</v>
      </c>
      <c r="W19" s="25">
        <f t="shared" ref="W19:AH19" si="7">SUM(W20:W24)</f>
        <v>0</v>
      </c>
      <c r="X19" s="25">
        <f t="shared" si="7"/>
        <v>0</v>
      </c>
      <c r="Y19" s="25">
        <f t="shared" si="7"/>
        <v>0</v>
      </c>
      <c r="Z19" s="25">
        <f t="shared" si="7"/>
        <v>0</v>
      </c>
      <c r="AA19" s="25">
        <f t="shared" si="7"/>
        <v>0</v>
      </c>
      <c r="AB19" s="25">
        <f t="shared" si="7"/>
        <v>0</v>
      </c>
      <c r="AC19" s="25">
        <f t="shared" si="7"/>
        <v>0</v>
      </c>
      <c r="AD19" s="25">
        <f t="shared" si="7"/>
        <v>0</v>
      </c>
      <c r="AE19" s="25">
        <f t="shared" si="7"/>
        <v>0</v>
      </c>
      <c r="AF19" s="25">
        <f t="shared" si="7"/>
        <v>4348.6039760274925</v>
      </c>
      <c r="AG19" s="25">
        <f t="shared" si="7"/>
        <v>1062.1277454627227</v>
      </c>
      <c r="AH19" s="25">
        <f t="shared" si="7"/>
        <v>131.18024817524662</v>
      </c>
    </row>
    <row r="20" spans="3:34" x14ac:dyDescent="0.35">
      <c r="C20" s="92">
        <f>AF20*' KF Non-OECD Americas'!H$32/T20*' KF Non-OECD Americas'!H$139/' KF Non-OECD Americas'!H$139*-1</f>
        <v>-2.5960600632980815</v>
      </c>
      <c r="D20" s="92"/>
      <c r="E20" s="92">
        <f>AF20*' KF Non-OECD Americas'!H33/T20*' KF Non-OECD Americas'!H$140/' KF Non-OECD Americas'!H$140*-1</f>
        <v>-569.54208033839529</v>
      </c>
      <c r="F20" s="92">
        <f>AF20*' KF Non-OECD Americas'!H$34/T20*' KF Non-OECD Americas'!H$140/' KF Non-OECD Americas'!H$140*-1</f>
        <v>-477.08884453577974</v>
      </c>
      <c r="G20" s="92"/>
      <c r="H20" s="92"/>
      <c r="I20" s="92">
        <f>AF20*' KF Non-OECD Americas'!H$35/T20*' KF Non-OECD Americas'!H$142/' KF Non-OECD Americas'!H$142*-1</f>
        <v>-1.1724142221346177</v>
      </c>
      <c r="J20" s="92">
        <f>AF20*' KF Non-OECD Americas'!H$36/T20*' KF Non-OECD Americas'!H$140/' KF Non-OECD Americas'!H$140*-1</f>
        <v>-1141.1358855655262</v>
      </c>
      <c r="K20" s="92">
        <f>AF20*' KF Non-OECD Americas'!H$37/T20*' KF Non-OECD Americas'!H$141/' KF Non-OECD Americas'!H$141*-1</f>
        <v>-1076.3599997925883</v>
      </c>
      <c r="L20" s="92">
        <f>AF20*' KF Non-OECD Americas'!H$38/T20*' KF Non-OECD Americas'!H$142/' KF Non-OECD Americas'!H$142*-1</f>
        <v>0</v>
      </c>
      <c r="M20" s="92"/>
      <c r="N20" s="23">
        <f>SUM(C20:L20)</f>
        <v>-3267.8952845177228</v>
      </c>
      <c r="O20" s="84" t="s">
        <v>86</v>
      </c>
      <c r="P20" s="85" t="s">
        <v>87</v>
      </c>
      <c r="Q20" s="86" t="s">
        <v>85</v>
      </c>
      <c r="R20" s="86"/>
      <c r="S20" s="24">
        <f t="shared" si="1"/>
        <v>2776.0047104274931</v>
      </c>
      <c r="T20" s="37">
        <f>(' KF Non-OECD Americas'!H32+' KF Non-OECD Americas'!H33+' KF Non-OECD Americas'!H34+' KF Non-OECD Americas'!H36)*' KF Non-OECD Americas'!H139+(' KF Non-OECD Americas'!H35+' KF Non-OECD Americas'!H38)*' KF Non-OECD Americas'!H142+' KF Non-OECD Americas'!H37*' KF Non-OECD Americas'!H141</f>
        <v>0.84947786533410208</v>
      </c>
      <c r="U20" s="61"/>
      <c r="V20" s="92"/>
      <c r="W20" s="92"/>
      <c r="X20" s="92"/>
      <c r="Y20" s="92"/>
      <c r="Z20" s="92"/>
      <c r="AA20" s="92"/>
      <c r="AB20" s="92"/>
      <c r="AC20" s="92"/>
      <c r="AD20" s="92"/>
      <c r="AE20" s="92"/>
      <c r="AF20" s="92">
        <f>' KF Non-OECD Americas'!H5*' KF Non-OECD Americas'!H9*((' KF Non-OECD Americas'!G32+' KF Non-OECD Americas'!G33+' KF Non-OECD Americas'!G34+' KF Non-OECD Americas'!G36)*' KF Non-OECD Americas'!G139+(' KF Non-OECD Americas'!G35+' KF Non-OECD Americas'!G38)*' KF Non-OECD Americas'!G142+' KF Non-OECD Americas'!G37*' KF Non-OECD Americas'!G141)*-1</f>
        <v>2776.0047104274931</v>
      </c>
      <c r="AG20" s="92">
        <f>(N20+AF20)*-1</f>
        <v>491.89057409022962</v>
      </c>
      <c r="AH20" s="87">
        <f>-(C20*Emissionsfaktorer!$B$2+D20*Emissionsfaktorer!$B$3+E20*Emissionsfaktorer!$B$4+F20*Emissionsfaktorer!$B$5+G20*Emissionsfaktorer!$B$6+H20*Emissionsfaktorer!$B$7+I20*Emissionsfaktorer!$B$8+J20*Emissionsfaktorer!$B$9+K20*Emissionsfaktorer!$B$10+L20*Emissionsfaktorer!$B$11+M20*Emissionsfaktorer!$B$12)</f>
        <v>70.725887950270803</v>
      </c>
    </row>
    <row r="21" spans="3:34" x14ac:dyDescent="0.35">
      <c r="C21" s="92">
        <f>AF21*' KF Non-OECD Americas'!H$40/T21*' KF Non-OECD Americas'!H$139/' KF Non-OECD Americas'!H$139*-1</f>
        <v>0</v>
      </c>
      <c r="D21" s="92"/>
      <c r="E21" s="92">
        <f>AF21*' KF Non-OECD Americas'!H41/T21*' KF Non-OECD Americas'!H$140/' KF Non-OECD Americas'!H$140*-1</f>
        <v>-121.34505599999997</v>
      </c>
      <c r="F21" s="92">
        <f>AF21*' KF Non-OECD Americas'!H$42/T21*' KF Non-OECD Americas'!H$140/' KF Non-OECD Americas'!H$140*-1</f>
        <v>-101.74895999999998</v>
      </c>
      <c r="G21" s="92"/>
      <c r="H21" s="92"/>
      <c r="I21" s="92">
        <f>AF21*' KF Non-OECD Americas'!H$43/T21*' KF Non-OECD Americas'!H$142/' KF Non-OECD Americas'!H$142*-1</f>
        <v>-0.66995199999999977</v>
      </c>
      <c r="J21" s="92">
        <f>AF21*' KF Non-OECD Americas'!H$44/T21*' KF Non-OECD Americas'!H$140/' KF Non-OECD Americas'!H$140*-1</f>
        <v>-41.704511999999994</v>
      </c>
      <c r="K21" s="92">
        <f>AF21*' KF Non-OECD Americas'!H$45/T21*' KF Non-OECD Americas'!H$141/' KF Non-OECD Americas'!H$141*-1</f>
        <v>-918.42044799999962</v>
      </c>
      <c r="L21" s="92">
        <f>AF21*' KF Non-OECD Americas'!H$46/T21*' KF Non-OECD Americas'!H$142/' KF Non-OECD Americas'!H$142*-1</f>
        <v>0</v>
      </c>
      <c r="M21" s="92"/>
      <c r="N21" s="23">
        <f t="shared" ref="N21:N24" si="8">SUM(C21:L21)</f>
        <v>-1183.8889279999996</v>
      </c>
      <c r="O21" s="84" t="s">
        <v>88</v>
      </c>
      <c r="P21" s="85" t="s">
        <v>89</v>
      </c>
      <c r="Q21" s="86" t="s">
        <v>85</v>
      </c>
      <c r="R21" s="86"/>
      <c r="S21" s="24">
        <f t="shared" si="1"/>
        <v>1085.0081999999998</v>
      </c>
      <c r="T21" s="37">
        <f>(' KF Non-OECD Americas'!H40+' KF Non-OECD Americas'!H41+' KF Non-OECD Americas'!H42+' KF Non-OECD Americas'!H44)*' KF Non-OECD Americas'!H139+(' KF Non-OECD Americas'!H43+' KF Non-OECD Americas'!H46)*' KF Non-OECD Americas'!H142+' KF Non-OECD Americas'!H45*' KF Non-OECD Americas'!H141</f>
        <v>0.9164780363584919</v>
      </c>
      <c r="U21" s="61"/>
      <c r="V21" s="92"/>
      <c r="W21" s="92"/>
      <c r="X21" s="92"/>
      <c r="Y21" s="92"/>
      <c r="Z21" s="92"/>
      <c r="AA21" s="92"/>
      <c r="AB21" s="92"/>
      <c r="AC21" s="92"/>
      <c r="AD21" s="92"/>
      <c r="AE21" s="92"/>
      <c r="AF21" s="92">
        <f>' KF Non-OECD Americas'!H5*' KF Non-OECD Americas'!H10*((' KF Non-OECD Americas'!G40+' KF Non-OECD Americas'!G41+' KF Non-OECD Americas'!G42+' KF Non-OECD Americas'!G44)*' KF Non-OECD Americas'!G139+(' KF Non-OECD Americas'!G43+' KF Non-OECD Americas'!G46)*' KF Non-OECD Americas'!G142+' KF Non-OECD Americas'!G45*' KF Non-OECD Americas'!G141)*-1</f>
        <v>1085.0081999999998</v>
      </c>
      <c r="AG21" s="92">
        <f t="shared" ref="AG21:AG24" si="9">(N21+AF21)*-1</f>
        <v>98.880727999999863</v>
      </c>
      <c r="AH21" s="87">
        <f>-(C21*Emissionsfaktorer!$B$2+D21*Emissionsfaktorer!$B$3+E21*Emissionsfaktorer!$B$4+F21*Emissionsfaktorer!$B$5+G21*Emissionsfaktorer!$B$6+H21*Emissionsfaktorer!$B$7+I21*Emissionsfaktorer!$B$8+J21*Emissionsfaktorer!$B$9+K21*Emissionsfaktorer!$B$10+L21*Emissionsfaktorer!$B$11+M21*Emissionsfaktorer!$B$12)</f>
        <v>15.021914975999996</v>
      </c>
    </row>
    <row r="22" spans="3:34" x14ac:dyDescent="0.35">
      <c r="C22" s="92">
        <f>AF22*' KF Non-OECD Americas'!H$48/T22*' KF Non-OECD Americas'!H$139/' KF Non-OECD Americas'!H$139*-1</f>
        <v>0</v>
      </c>
      <c r="D22" s="92"/>
      <c r="E22" s="92">
        <f>AF22*' KF Non-OECD Americas'!H49/T22*' KF Non-OECD Americas'!H$140/' KF Non-OECD Americas'!H$140*-1</f>
        <v>-454.52055999999999</v>
      </c>
      <c r="F22" s="92">
        <f>AF22*' KF Non-OECD Americas'!H$50/T22*' KF Non-OECD Americas'!H$140/' KF Non-OECD Americas'!H$140*-1</f>
        <v>-8.3743999999999999E-2</v>
      </c>
      <c r="G22" s="92"/>
      <c r="H22" s="92"/>
      <c r="I22" s="92">
        <f>AF22*' KF Non-OECD Americas'!H$51/T22*' KF Non-OECD Americas'!H$142/' KF Non-OECD Americas'!H$142*-1</f>
        <v>0</v>
      </c>
      <c r="J22" s="92">
        <f>AF22*' KF Non-OECD Americas'!H$52/T22*' KF Non-OECD Americas'!H$140/' KF Non-OECD Americas'!H$140*-1</f>
        <v>-162.21212800000001</v>
      </c>
      <c r="K22" s="92">
        <f>AF22*' KF Non-OECD Americas'!H$53/T22*' KF Non-OECD Americas'!H$141/' KF Non-OECD Americas'!H$141*-1</f>
        <v>-132.73424</v>
      </c>
      <c r="L22" s="92">
        <f>AF22*' KF Non-OECD Americas'!H$54/T22*' KF Non-OECD Americas'!H$142/' KF Non-OECD Americas'!H$142*-1</f>
        <v>0</v>
      </c>
      <c r="M22" s="92"/>
      <c r="N22" s="23">
        <f t="shared" si="8"/>
        <v>-749.55067200000008</v>
      </c>
      <c r="O22" s="84" t="s">
        <v>90</v>
      </c>
      <c r="P22" s="85" t="s">
        <v>91</v>
      </c>
      <c r="Q22" s="86" t="s">
        <v>85</v>
      </c>
      <c r="R22" s="86"/>
      <c r="S22" s="24">
        <f t="shared" si="1"/>
        <v>311.1424576</v>
      </c>
      <c r="T22" s="37">
        <f>(' KF Non-OECD Americas'!H48+' KF Non-OECD Americas'!H49+' KF Non-OECD Americas'!H50+' KF Non-OECD Americas'!H52)*' KF Non-OECD Americas'!H140+(' KF Non-OECD Americas'!H51+' KF Non-OECD Americas'!H54)*' KF Non-OECD Americas'!H142+' KF Non-OECD Americas'!H53*' KF Non-OECD Americas'!H141</f>
        <v>0.41510530137981116</v>
      </c>
      <c r="U22" s="61"/>
      <c r="V22" s="92"/>
      <c r="W22" s="92"/>
      <c r="X22" s="92"/>
      <c r="Y22" s="92"/>
      <c r="Z22" s="92"/>
      <c r="AA22" s="92"/>
      <c r="AB22" s="92"/>
      <c r="AC22" s="92"/>
      <c r="AD22" s="92"/>
      <c r="AE22" s="92"/>
      <c r="AF22" s="92">
        <f>((' KF Non-OECD Americas'!G48+' KF Non-OECD Americas'!G49+' KF Non-OECD Americas'!G50+' KF Non-OECD Americas'!G52)*' KF Non-OECD Americas'!G140+(' KF Non-OECD Americas'!G51+' KF Non-OECD Americas'!G54)*' KF Non-OECD Americas'!G142+' KF Non-OECD Americas'!G53*' KF Non-OECD Americas'!G141)*' KF Non-OECD Americas'!H11*' KF Non-OECD Americas'!H5*-1</f>
        <v>311.1424576</v>
      </c>
      <c r="AG22" s="92">
        <f t="shared" si="9"/>
        <v>438.40821440000008</v>
      </c>
      <c r="AH22" s="87">
        <f>-(C22*Emissionsfaktorer!$B$2+D22*Emissionsfaktorer!$B$3+E22*Emissionsfaktorer!$B$4+F22*Emissionsfaktorer!$B$5+G22*Emissionsfaktorer!$B$6+H22*Emissionsfaktorer!$B$7+I22*Emissionsfaktorer!$B$8+J22*Emissionsfaktorer!$B$9+K22*Emissionsfaktorer!$B$10+L22*Emissionsfaktorer!$B$11+M22*Emissionsfaktorer!$B$12)</f>
        <v>34.548335967999996</v>
      </c>
    </row>
    <row r="23" spans="3:34" x14ac:dyDescent="0.35">
      <c r="C23" s="92">
        <f>AF23*' KF Non-OECD Americas'!H$56/T23*' KF Non-OECD Americas'!H$139/' KF Non-OECD Americas'!H$139*-1</f>
        <v>0</v>
      </c>
      <c r="D23" s="92"/>
      <c r="E23" s="92">
        <f>AF23*' KF Non-OECD Americas'!H57/T23*' KF Non-OECD Americas'!H$140/' KF Non-OECD Americas'!H$140*-1</f>
        <v>-2.1354719999999991</v>
      </c>
      <c r="F23" s="92">
        <f>AF23*' KF Non-OECD Americas'!H$58/T23*' KF Non-OECD Americas'!H$140/' KF Non-OECD Americas'!H$140*-1</f>
        <v>-8.3743999999999971E-2</v>
      </c>
      <c r="G23" s="92"/>
      <c r="H23" s="92"/>
      <c r="I23" s="92">
        <f>AF23*' KF Non-OECD Americas'!H$59/T23*' KF Non-OECD Americas'!H$142/' KF Non-OECD Americas'!H$142*-1</f>
        <v>0</v>
      </c>
      <c r="J23" s="92">
        <f>AF23*' KF Non-OECD Americas'!H$60/T23*' KF Non-OECD Americas'!H$140/' KF Non-OECD Americas'!H$140*-1</f>
        <v>-8.3743999999999971E-2</v>
      </c>
      <c r="K23" s="92">
        <f>AF23*' KF Non-OECD Americas'!H$61/T23*' KF Non-OECD Americas'!H$141/' KF Non-OECD Americas'!H$141*-1</f>
        <v>-1.339904</v>
      </c>
      <c r="L23" s="92">
        <f>AF23*' KF Non-OECD Americas'!H$62/T23*' KF Non-OECD Americas'!H$142/' KF Non-OECD Americas'!H$142*-1</f>
        <v>0</v>
      </c>
      <c r="M23" s="92"/>
      <c r="N23" s="23">
        <f t="shared" si="8"/>
        <v>-3.6428639999999985</v>
      </c>
      <c r="O23" s="84" t="s">
        <v>92</v>
      </c>
      <c r="P23" s="85" t="s">
        <v>93</v>
      </c>
      <c r="Q23" s="86" t="s">
        <v>85</v>
      </c>
      <c r="R23" s="86"/>
      <c r="S23" s="24">
        <f t="shared" si="1"/>
        <v>1.9637967999999997</v>
      </c>
      <c r="T23" s="37">
        <f>(' KF Non-OECD Americas'!H56+' KF Non-OECD Americas'!H57+' KF Non-OECD Americas'!H58+' KF Non-OECD Americas'!H60)*' KF Non-OECD Americas'!H140+(' KF Non-OECD Americas'!H59+' KF Non-OECD Americas'!H62)*' KF Non-OECD Americas'!H142+' KF Non-OECD Americas'!H61*' KF Non-OECD Americas'!H141</f>
        <v>0.53908045977011498</v>
      </c>
      <c r="U23" s="61"/>
      <c r="V23" s="92"/>
      <c r="W23" s="92"/>
      <c r="X23" s="92"/>
      <c r="Y23" s="92"/>
      <c r="Z23" s="92"/>
      <c r="AA23" s="92"/>
      <c r="AB23" s="92"/>
      <c r="AC23" s="92"/>
      <c r="AD23" s="92"/>
      <c r="AE23" s="92"/>
      <c r="AF23" s="92">
        <f>((' KF Non-OECD Americas'!G56+' KF Non-OECD Americas'!G57+' KF Non-OECD Americas'!G58+' KF Non-OECD Americas'!G60)*' KF Non-OECD Americas'!G140+(' KF Non-OECD Americas'!G59+' KF Non-OECD Americas'!G62)*' KF Non-OECD Americas'!G142+' KF Non-OECD Americas'!G61*' KF Non-OECD Americas'!G141)*' KF Non-OECD Americas'!H5*' KF Non-OECD Americas'!H12*-1</f>
        <v>1.9637967999999997</v>
      </c>
      <c r="AG23" s="92">
        <f t="shared" si="9"/>
        <v>1.6790671999999989</v>
      </c>
      <c r="AH23" s="87">
        <f>-(C23*Emissionsfaktorer!$B$2+D23*Emissionsfaktorer!$B$3+E23*Emissionsfaktorer!$B$4+F23*Emissionsfaktorer!$B$5+G23*Emissionsfaktorer!$B$6+H23*Emissionsfaktorer!$B$7+I23*Emissionsfaktorer!$B$8+J23*Emissionsfaktorer!$B$9+K23*Emissionsfaktorer!$B$10+L23*Emissionsfaktorer!$B$11+M23*Emissionsfaktorer!$B$12)</f>
        <v>0.16706927999999993</v>
      </c>
    </row>
    <row r="24" spans="3:34" x14ac:dyDescent="0.35">
      <c r="C24" s="92">
        <f>AF24*' KF Non-OECD Americas'!H$64/T24*' KF Non-OECD Americas'!H$139/' KF Non-OECD Americas'!H$139*-1</f>
        <v>-4.1862456352490966E-2</v>
      </c>
      <c r="D24" s="92"/>
      <c r="E24" s="92">
        <f>AF24*' KF Non-OECD Americas'!H65/T24*' KF Non-OECD Americas'!H$140/' KF Non-OECD Americas'!H$140*-1</f>
        <v>-116.37762865992491</v>
      </c>
      <c r="F24" s="92">
        <f>AF24*' KF Non-OECD Americas'!H$66/T24*' KF Non-OECD Americas'!H$140/' KF Non-OECD Americas'!H$140*-1</f>
        <v>-32.778303324000433</v>
      </c>
      <c r="G24" s="92"/>
      <c r="H24" s="92"/>
      <c r="I24" s="92">
        <f>AF24*' KF Non-OECD Americas'!H$67/T24*' KF Non-OECD Americas'!H$142/' KF Non-OECD Americas'!H$142*-1</f>
        <v>-37.75993562994686</v>
      </c>
      <c r="J24" s="92">
        <f>AF24*' KF Non-OECD Americas'!H$68/T24*' KF Non-OECD Americas'!H$140/' KF Non-OECD Americas'!H$140*-1</f>
        <v>-3.2652715954942955</v>
      </c>
      <c r="K24" s="92">
        <f>AF24*' KF Non-OECD Americas'!H$69/T24*' KF Non-OECD Americas'!H$141/' KF Non-OECD Americas'!H$141*-1</f>
        <v>-15.530971306774155</v>
      </c>
      <c r="L24" s="92">
        <f>AF24*' KF Non-OECD Americas'!H$70/T24*' KF Non-OECD Americas'!H$142/' KF Non-OECD Americas'!H$142*-1</f>
        <v>0</v>
      </c>
      <c r="M24" s="92"/>
      <c r="N24" s="23">
        <f t="shared" si="8"/>
        <v>-205.75397297249313</v>
      </c>
      <c r="O24" s="84" t="s">
        <v>94</v>
      </c>
      <c r="P24" s="85" t="s">
        <v>95</v>
      </c>
      <c r="Q24" s="86" t="s">
        <v>85</v>
      </c>
      <c r="R24" s="86"/>
      <c r="S24" s="24">
        <f t="shared" si="1"/>
        <v>174.4848112</v>
      </c>
      <c r="T24" s="37">
        <f>(' KF Non-OECD Americas'!H64+' KF Non-OECD Americas'!H65+' KF Non-OECD Americas'!H66+' KF Non-OECD Americas'!H68)*' KF Non-OECD Americas'!H139+(' KF Non-OECD Americas'!H67+' KF Non-OECD Americas'!H70)*' KF Non-OECD Americas'!H142+' KF Non-OECD Americas'!H69*' KF Non-OECD Americas'!H141</f>
        <v>0.84802644964394713</v>
      </c>
      <c r="U24" s="61"/>
      <c r="V24" s="92"/>
      <c r="W24" s="92"/>
      <c r="X24" s="92"/>
      <c r="Y24" s="92"/>
      <c r="Z24" s="92"/>
      <c r="AA24" s="92"/>
      <c r="AB24" s="92"/>
      <c r="AC24" s="92"/>
      <c r="AD24" s="92"/>
      <c r="AE24" s="92"/>
      <c r="AF24" s="92">
        <f>((' KF Non-OECD Americas'!G64+' KF Non-OECD Americas'!G65+' KF Non-OECD Americas'!G66+' KF Non-OECD Americas'!G68)*' KF Non-OECD Americas'!G139+(' KF Non-OECD Americas'!G67+' KF Non-OECD Americas'!G70)*' KF Non-OECD Americas'!G142+' KF Non-OECD Americas'!G69*' KF Non-OECD Americas'!G141)*' KF Non-OECD Americas'!H5*' KF Non-OECD Americas'!H13*-1</f>
        <v>174.4848112</v>
      </c>
      <c r="AG24" s="92">
        <f t="shared" si="9"/>
        <v>31.269161772493135</v>
      </c>
      <c r="AH24" s="87">
        <f>-(C24*Emissionsfaktorer!$B$2+D24*Emissionsfaktorer!$B$3+E24*Emissionsfaktorer!$B$4+F24*Emissionsfaktorer!$B$5+G24*Emissionsfaktorer!$B$6+H24*Emissionsfaktorer!$B$7+I24*Emissionsfaktorer!$B$8+J24*Emissionsfaktorer!$B$9+K24*Emissionsfaktorer!$B$10+L24*Emissionsfaktorer!$B$11+M24*Emissionsfaktorer!$B$12)</f>
        <v>10.717040000975805</v>
      </c>
    </row>
    <row r="25" spans="3:34" x14ac:dyDescent="0.35"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23">
        <f>N16</f>
        <v>-17698.205728000001</v>
      </c>
      <c r="O25" s="10" t="s">
        <v>11</v>
      </c>
      <c r="P25" s="71" t="s">
        <v>96</v>
      </c>
      <c r="Q25" s="71"/>
      <c r="R25" s="71"/>
      <c r="S25" s="24">
        <f t="shared" si="1"/>
        <v>10986.521889627493</v>
      </c>
      <c r="T25" s="37">
        <f>AF25/N25*-1</f>
        <v>0.62077037969142379</v>
      </c>
      <c r="U25" s="61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>
        <f>AF16</f>
        <v>10986.521889627493</v>
      </c>
      <c r="AG25" s="14">
        <f>-(S25+N25)</f>
        <v>6711.683838372508</v>
      </c>
      <c r="AH25" s="14"/>
    </row>
    <row r="28" spans="3:34" x14ac:dyDescent="0.35">
      <c r="X28" s="95"/>
    </row>
    <row r="29" spans="3:34" x14ac:dyDescent="0.35">
      <c r="X29" s="95"/>
    </row>
    <row r="30" spans="3:34" x14ac:dyDescent="0.35">
      <c r="X30" s="95"/>
    </row>
    <row r="31" spans="3:34" x14ac:dyDescent="0.35">
      <c r="E31" s="40"/>
    </row>
  </sheetData>
  <pageMargins left="0.7" right="0.7" top="0.75" bottom="0.75" header="0.3" footer="0.3"/>
  <pageSetup paperSize="9" orientation="portrait" horizontalDpi="4294967293" verticalDpi="4294967293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Ark36"/>
  <dimension ref="A1:L32"/>
  <sheetViews>
    <sheetView workbookViewId="0">
      <selection activeCell="P34" sqref="P34"/>
    </sheetView>
  </sheetViews>
  <sheetFormatPr defaultRowHeight="14.5" x14ac:dyDescent="0.35"/>
  <cols>
    <col min="1" max="1" width="30" customWidth="1"/>
    <col min="2" max="2" width="11.54296875" customWidth="1"/>
    <col min="3" max="3" width="12" customWidth="1"/>
    <col min="4" max="4" width="14.54296875" customWidth="1"/>
    <col min="5" max="5" width="14.1796875" customWidth="1"/>
    <col min="8" max="8" width="22.81640625" customWidth="1"/>
    <col min="9" max="9" width="21.81640625" customWidth="1"/>
    <col min="10" max="10" width="13.81640625" customWidth="1"/>
    <col min="11" max="11" width="12.26953125" customWidth="1"/>
    <col min="12" max="12" width="11.81640625" customWidth="1"/>
  </cols>
  <sheetData>
    <row r="1" spans="1:12" x14ac:dyDescent="0.35">
      <c r="B1" t="s">
        <v>214</v>
      </c>
      <c r="C1" t="s">
        <v>2</v>
      </c>
      <c r="D1" t="s">
        <v>215</v>
      </c>
      <c r="E1" t="s">
        <v>216</v>
      </c>
      <c r="F1" t="s">
        <v>5</v>
      </c>
      <c r="G1" t="s">
        <v>6</v>
      </c>
      <c r="H1" t="s">
        <v>217</v>
      </c>
      <c r="I1" t="s">
        <v>8</v>
      </c>
      <c r="J1" t="s">
        <v>9</v>
      </c>
      <c r="K1" t="s">
        <v>10</v>
      </c>
      <c r="L1" t="s">
        <v>218</v>
      </c>
    </row>
    <row r="2" spans="1:12" x14ac:dyDescent="0.35">
      <c r="B2" t="s">
        <v>219</v>
      </c>
      <c r="C2" t="s">
        <v>219</v>
      </c>
      <c r="D2" t="s">
        <v>219</v>
      </c>
      <c r="E2" t="s">
        <v>219</v>
      </c>
      <c r="F2" t="s">
        <v>219</v>
      </c>
      <c r="G2" t="s">
        <v>219</v>
      </c>
      <c r="H2" t="s">
        <v>219</v>
      </c>
      <c r="I2" t="s">
        <v>219</v>
      </c>
      <c r="J2" t="s">
        <v>219</v>
      </c>
      <c r="K2" t="s">
        <v>219</v>
      </c>
      <c r="L2" t="s">
        <v>219</v>
      </c>
    </row>
    <row r="3" spans="1:12" x14ac:dyDescent="0.35">
      <c r="A3" t="s">
        <v>17</v>
      </c>
      <c r="B3" s="7">
        <v>21909</v>
      </c>
      <c r="C3" s="7">
        <v>308892</v>
      </c>
      <c r="D3" s="7"/>
      <c r="E3" s="7">
        <v>56910</v>
      </c>
      <c r="F3" s="7">
        <v>2497</v>
      </c>
      <c r="G3" s="7">
        <v>38295</v>
      </c>
      <c r="H3" s="7">
        <v>928</v>
      </c>
      <c r="I3" s="7">
        <v>76695</v>
      </c>
      <c r="J3" s="7"/>
      <c r="K3" s="7"/>
      <c r="L3" s="7">
        <v>506126</v>
      </c>
    </row>
    <row r="4" spans="1:12" x14ac:dyDescent="0.35">
      <c r="A4" t="s">
        <v>220</v>
      </c>
      <c r="B4" s="7">
        <v>11206</v>
      </c>
      <c r="C4" s="7">
        <v>62836</v>
      </c>
      <c r="D4" s="7">
        <v>44232</v>
      </c>
      <c r="E4" s="7">
        <v>1764</v>
      </c>
      <c r="F4" s="7"/>
      <c r="G4" s="7"/>
      <c r="H4" s="7"/>
      <c r="I4" s="7">
        <v>1262</v>
      </c>
      <c r="J4" s="7">
        <v>3333</v>
      </c>
      <c r="K4" s="7"/>
      <c r="L4" s="7">
        <v>124634</v>
      </c>
    </row>
    <row r="5" spans="1:12" x14ac:dyDescent="0.35">
      <c r="A5" t="s">
        <v>221</v>
      </c>
      <c r="B5" s="7">
        <v>-15069</v>
      </c>
      <c r="C5" s="7">
        <v>-155592</v>
      </c>
      <c r="D5" s="7">
        <v>-74126</v>
      </c>
      <c r="E5" s="7">
        <v>-1986</v>
      </c>
      <c r="F5" s="7"/>
      <c r="G5" s="7"/>
      <c r="H5" s="7"/>
      <c r="I5" s="7">
        <v>-216</v>
      </c>
      <c r="J5" s="7">
        <v>-3320</v>
      </c>
      <c r="K5" s="7"/>
      <c r="L5" s="7">
        <v>-250307</v>
      </c>
    </row>
    <row r="6" spans="1:12" x14ac:dyDescent="0.35">
      <c r="A6" t="s">
        <v>222</v>
      </c>
      <c r="B6" s="7"/>
      <c r="C6" s="7"/>
      <c r="D6" s="7">
        <v>-7512</v>
      </c>
      <c r="E6" s="7"/>
      <c r="F6" s="7"/>
      <c r="G6" s="7"/>
      <c r="H6" s="7"/>
      <c r="I6" s="7"/>
      <c r="J6" s="7"/>
      <c r="K6" s="7"/>
      <c r="L6" s="7">
        <v>-7512</v>
      </c>
    </row>
    <row r="7" spans="1:12" x14ac:dyDescent="0.35">
      <c r="A7" t="s">
        <v>223</v>
      </c>
      <c r="B7" s="7"/>
      <c r="C7" s="7"/>
      <c r="D7" s="7">
        <v>-4267</v>
      </c>
      <c r="E7" s="7"/>
      <c r="F7" s="7"/>
      <c r="G7" s="7"/>
      <c r="H7" s="7"/>
      <c r="I7" s="7"/>
      <c r="J7" s="7"/>
      <c r="K7" s="7"/>
      <c r="L7" s="7">
        <v>-4267</v>
      </c>
    </row>
    <row r="8" spans="1:12" x14ac:dyDescent="0.35">
      <c r="A8" t="s">
        <v>224</v>
      </c>
      <c r="B8" s="7">
        <v>-998</v>
      </c>
      <c r="C8" s="7">
        <v>2414</v>
      </c>
      <c r="D8" s="7">
        <v>-909</v>
      </c>
      <c r="E8" s="7"/>
      <c r="F8" s="7"/>
      <c r="G8" s="7"/>
      <c r="H8" s="7"/>
      <c r="I8" s="7">
        <v>-10</v>
      </c>
      <c r="J8" s="7"/>
      <c r="K8" s="7"/>
      <c r="L8" s="7">
        <v>497</v>
      </c>
    </row>
    <row r="9" spans="1:12" x14ac:dyDescent="0.35">
      <c r="A9" t="s">
        <v>225</v>
      </c>
      <c r="B9" s="7">
        <v>17048</v>
      </c>
      <c r="C9" s="7">
        <v>218551</v>
      </c>
      <c r="D9" s="7">
        <v>-42581</v>
      </c>
      <c r="E9" s="7">
        <v>56688</v>
      </c>
      <c r="F9" s="7">
        <v>2497</v>
      </c>
      <c r="G9" s="7">
        <v>38295</v>
      </c>
      <c r="H9" s="7">
        <v>928</v>
      </c>
      <c r="I9" s="7">
        <v>77731</v>
      </c>
      <c r="J9" s="7">
        <v>14</v>
      </c>
      <c r="K9" s="7"/>
      <c r="L9" s="7">
        <v>369171</v>
      </c>
    </row>
    <row r="10" spans="1:12" x14ac:dyDescent="0.35">
      <c r="A10" t="s">
        <v>226</v>
      </c>
      <c r="B10" s="7"/>
      <c r="C10" s="7">
        <v>-7642</v>
      </c>
      <c r="D10" s="7">
        <v>8593</v>
      </c>
      <c r="E10" s="7"/>
      <c r="F10" s="7"/>
      <c r="G10" s="7"/>
      <c r="H10" s="7"/>
      <c r="I10" s="7"/>
      <c r="J10" s="7"/>
      <c r="K10" s="7"/>
      <c r="L10" s="7">
        <v>951</v>
      </c>
    </row>
    <row r="11" spans="1:12" x14ac:dyDescent="0.35">
      <c r="A11" t="s">
        <v>227</v>
      </c>
      <c r="B11" s="7">
        <v>-91</v>
      </c>
      <c r="C11" s="7">
        <v>1238</v>
      </c>
      <c r="D11" s="7">
        <v>70</v>
      </c>
      <c r="E11" s="7">
        <v>-776</v>
      </c>
      <c r="F11" s="7"/>
      <c r="G11" s="7"/>
      <c r="H11" s="7">
        <v>-28</v>
      </c>
      <c r="I11" s="7">
        <v>105</v>
      </c>
      <c r="J11" s="7">
        <v>170</v>
      </c>
      <c r="K11" s="7"/>
      <c r="L11" s="7">
        <v>688</v>
      </c>
    </row>
    <row r="12" spans="1:12" x14ac:dyDescent="0.35">
      <c r="A12" t="s">
        <v>228</v>
      </c>
      <c r="B12" s="7">
        <v>-3119</v>
      </c>
      <c r="C12" s="7">
        <v>-1028</v>
      </c>
      <c r="D12" s="7">
        <v>-14709</v>
      </c>
      <c r="E12" s="7">
        <v>-14446</v>
      </c>
      <c r="F12" s="7">
        <v>-2497</v>
      </c>
      <c r="G12" s="7">
        <v>-38295</v>
      </c>
      <c r="H12" s="7">
        <v>-899</v>
      </c>
      <c r="I12" s="7">
        <v>-1057</v>
      </c>
      <c r="J12" s="7">
        <v>51614</v>
      </c>
      <c r="K12" s="7"/>
      <c r="L12" s="7">
        <v>-24437</v>
      </c>
    </row>
    <row r="13" spans="1:12" x14ac:dyDescent="0.35">
      <c r="A13" t="s">
        <v>66</v>
      </c>
      <c r="B13" s="7">
        <v>-453</v>
      </c>
      <c r="C13" s="7"/>
      <c r="D13" s="7">
        <v>-627</v>
      </c>
      <c r="E13" s="7">
        <v>-176</v>
      </c>
      <c r="F13" s="7"/>
      <c r="G13" s="7"/>
      <c r="H13" s="7"/>
      <c r="I13" s="7">
        <v>-1148</v>
      </c>
      <c r="J13" s="7">
        <v>960</v>
      </c>
      <c r="K13" s="7"/>
      <c r="L13" s="7">
        <v>-1443</v>
      </c>
    </row>
    <row r="14" spans="1:12" x14ac:dyDescent="0.35">
      <c r="A14" t="s">
        <v>229</v>
      </c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</row>
    <row r="15" spans="1:12" x14ac:dyDescent="0.35">
      <c r="A15" t="s">
        <v>230</v>
      </c>
      <c r="B15" s="7">
        <v>11</v>
      </c>
      <c r="C15" s="7"/>
      <c r="D15" s="7">
        <v>-136</v>
      </c>
      <c r="E15" s="7">
        <v>105</v>
      </c>
      <c r="F15" s="7"/>
      <c r="G15" s="7"/>
      <c r="H15" s="7"/>
      <c r="I15" s="7"/>
      <c r="J15" s="7"/>
      <c r="K15" s="7"/>
      <c r="L15" s="7">
        <v>-20</v>
      </c>
    </row>
    <row r="16" spans="1:12" x14ac:dyDescent="0.35">
      <c r="A16" t="s">
        <v>70</v>
      </c>
      <c r="B16" s="7"/>
      <c r="C16" s="7">
        <v>-211347</v>
      </c>
      <c r="D16" s="7">
        <v>204322</v>
      </c>
      <c r="E16" s="7"/>
      <c r="F16" s="7"/>
      <c r="G16" s="7"/>
      <c r="H16" s="7"/>
      <c r="I16" s="7"/>
      <c r="J16" s="7"/>
      <c r="K16" s="7"/>
      <c r="L16" s="7">
        <v>-7026</v>
      </c>
    </row>
    <row r="17" spans="1:12" x14ac:dyDescent="0.35">
      <c r="A17" t="s">
        <v>231</v>
      </c>
      <c r="B17" s="7">
        <v>-4179</v>
      </c>
      <c r="C17" s="7"/>
      <c r="D17" s="7">
        <v>-194</v>
      </c>
      <c r="E17" s="7"/>
      <c r="F17" s="7"/>
      <c r="G17" s="7"/>
      <c r="H17" s="7"/>
      <c r="I17" s="7">
        <v>-44</v>
      </c>
      <c r="J17" s="7"/>
      <c r="K17" s="7"/>
      <c r="L17" s="7">
        <v>-4417</v>
      </c>
    </row>
    <row r="18" spans="1:12" x14ac:dyDescent="0.35">
      <c r="A18" t="s">
        <v>232</v>
      </c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</row>
    <row r="19" spans="1:12" x14ac:dyDescent="0.35">
      <c r="A19" t="s">
        <v>233</v>
      </c>
      <c r="B19" s="7"/>
      <c r="C19" s="7">
        <v>1602</v>
      </c>
      <c r="D19" s="7">
        <v>-1579</v>
      </c>
      <c r="E19" s="7"/>
      <c r="F19" s="7"/>
      <c r="G19" s="7"/>
      <c r="H19" s="7"/>
      <c r="I19" s="7">
        <v>-6934</v>
      </c>
      <c r="J19" s="7"/>
      <c r="K19" s="7"/>
      <c r="L19" s="7">
        <v>-6911</v>
      </c>
    </row>
    <row r="20" spans="1:12" x14ac:dyDescent="0.35">
      <c r="A20" t="s">
        <v>234</v>
      </c>
      <c r="B20" s="7">
        <v>-972</v>
      </c>
      <c r="C20" s="7">
        <v>-168</v>
      </c>
      <c r="D20" s="7">
        <v>-10428</v>
      </c>
      <c r="E20" s="7">
        <v>-11401</v>
      </c>
      <c r="F20" s="7"/>
      <c r="G20" s="7"/>
      <c r="H20" s="7"/>
      <c r="I20" s="7">
        <v>-7173</v>
      </c>
      <c r="J20" s="7">
        <v>-1591</v>
      </c>
      <c r="K20" s="7"/>
      <c r="L20" s="7">
        <v>-31732</v>
      </c>
    </row>
    <row r="21" spans="1:12" x14ac:dyDescent="0.35">
      <c r="A21" t="s">
        <v>235</v>
      </c>
      <c r="B21" s="7">
        <v>-1235</v>
      </c>
      <c r="C21" s="7">
        <v>-23</v>
      </c>
      <c r="D21" s="7">
        <v>-113</v>
      </c>
      <c r="E21" s="7">
        <v>-311</v>
      </c>
      <c r="F21" s="7"/>
      <c r="G21" s="7"/>
      <c r="H21" s="7"/>
      <c r="I21" s="7">
        <v>-196</v>
      </c>
      <c r="J21" s="7">
        <v>-8522</v>
      </c>
      <c r="K21" s="7"/>
      <c r="L21" s="7">
        <v>-10399</v>
      </c>
    </row>
    <row r="22" spans="1:12" x14ac:dyDescent="0.35">
      <c r="A22" t="s">
        <v>131</v>
      </c>
      <c r="B22" s="7">
        <v>7010</v>
      </c>
      <c r="C22" s="7">
        <v>1183</v>
      </c>
      <c r="D22" s="7">
        <v>142620</v>
      </c>
      <c r="E22" s="7">
        <v>29683</v>
      </c>
      <c r="F22" s="7"/>
      <c r="G22" s="7"/>
      <c r="H22" s="7">
        <v>2</v>
      </c>
      <c r="I22" s="7">
        <v>61285</v>
      </c>
      <c r="J22" s="7">
        <v>42644</v>
      </c>
      <c r="K22" s="7"/>
      <c r="L22" s="7">
        <v>284426</v>
      </c>
    </row>
    <row r="23" spans="1:12" x14ac:dyDescent="0.35">
      <c r="A23" t="s">
        <v>80</v>
      </c>
      <c r="B23" s="7">
        <v>6763</v>
      </c>
      <c r="C23" s="7">
        <v>1077</v>
      </c>
      <c r="D23" s="7">
        <v>22378</v>
      </c>
      <c r="E23" s="7">
        <v>17331</v>
      </c>
      <c r="F23" s="7"/>
      <c r="G23" s="7"/>
      <c r="H23" s="7"/>
      <c r="I23" s="7">
        <v>26732</v>
      </c>
      <c r="J23" s="7">
        <v>19833</v>
      </c>
      <c r="K23" s="7"/>
      <c r="L23" s="7">
        <v>94114</v>
      </c>
    </row>
    <row r="24" spans="1:12" x14ac:dyDescent="0.35">
      <c r="A24" t="s">
        <v>82</v>
      </c>
      <c r="B24" s="7">
        <v>1</v>
      </c>
      <c r="C24" s="7"/>
      <c r="D24" s="7">
        <v>79556</v>
      </c>
      <c r="E24" s="7">
        <v>1604</v>
      </c>
      <c r="F24" s="7"/>
      <c r="G24" s="7"/>
      <c r="H24" s="7"/>
      <c r="I24" s="7">
        <v>6883</v>
      </c>
      <c r="J24" s="7">
        <v>152</v>
      </c>
      <c r="K24" s="7"/>
      <c r="L24" s="7">
        <v>88195</v>
      </c>
    </row>
    <row r="25" spans="1:12" x14ac:dyDescent="0.35">
      <c r="A25" t="s">
        <v>86</v>
      </c>
      <c r="B25" s="7">
        <v>149</v>
      </c>
      <c r="C25" s="7"/>
      <c r="D25" s="7">
        <v>12773</v>
      </c>
      <c r="E25" s="7">
        <v>5582</v>
      </c>
      <c r="F25" s="7"/>
      <c r="G25" s="7"/>
      <c r="H25" s="7"/>
      <c r="I25" s="7">
        <v>24068</v>
      </c>
      <c r="J25" s="7">
        <v>11822</v>
      </c>
      <c r="K25" s="7"/>
      <c r="L25" s="7">
        <v>54394</v>
      </c>
    </row>
    <row r="26" spans="1:12" x14ac:dyDescent="0.35">
      <c r="A26" t="s">
        <v>88</v>
      </c>
      <c r="B26" s="7">
        <v>3</v>
      </c>
      <c r="C26" s="7">
        <v>5</v>
      </c>
      <c r="D26" s="7">
        <v>2155</v>
      </c>
      <c r="E26" s="7">
        <v>1520</v>
      </c>
      <c r="F26" s="7"/>
      <c r="G26" s="7"/>
      <c r="H26" s="7">
        <v>2</v>
      </c>
      <c r="I26" s="7">
        <v>452</v>
      </c>
      <c r="J26" s="7">
        <v>8773</v>
      </c>
      <c r="K26" s="7"/>
      <c r="L26" s="7">
        <v>12909</v>
      </c>
    </row>
    <row r="27" spans="1:12" x14ac:dyDescent="0.35">
      <c r="A27" t="s">
        <v>90</v>
      </c>
      <c r="B27" s="7"/>
      <c r="C27" s="7">
        <v>3</v>
      </c>
      <c r="D27" s="7">
        <v>8271</v>
      </c>
      <c r="E27" s="7"/>
      <c r="F27" s="7"/>
      <c r="G27" s="7"/>
      <c r="H27" s="7"/>
      <c r="I27" s="7">
        <v>3025</v>
      </c>
      <c r="J27" s="7">
        <v>1042</v>
      </c>
      <c r="K27" s="7"/>
      <c r="L27" s="7">
        <v>12342</v>
      </c>
    </row>
    <row r="28" spans="1:12" x14ac:dyDescent="0.35">
      <c r="A28" t="s">
        <v>92</v>
      </c>
      <c r="B28" s="7"/>
      <c r="C28" s="7"/>
      <c r="D28" s="7">
        <v>294</v>
      </c>
      <c r="E28" s="7"/>
      <c r="F28" s="7"/>
      <c r="G28" s="7"/>
      <c r="H28" s="7"/>
      <c r="I28" s="7"/>
      <c r="J28" s="7"/>
      <c r="K28" s="7"/>
      <c r="L28" s="7">
        <v>294</v>
      </c>
    </row>
    <row r="29" spans="1:12" x14ac:dyDescent="0.35">
      <c r="A29" t="s">
        <v>94</v>
      </c>
      <c r="B29" s="7">
        <v>1</v>
      </c>
      <c r="C29" s="7">
        <v>98</v>
      </c>
      <c r="D29" s="7">
        <v>1502</v>
      </c>
      <c r="E29" s="7">
        <v>21</v>
      </c>
      <c r="F29" s="7"/>
      <c r="G29" s="7"/>
      <c r="H29" s="7"/>
      <c r="I29" s="7">
        <v>125</v>
      </c>
      <c r="J29" s="7">
        <v>1022</v>
      </c>
      <c r="K29" s="7"/>
      <c r="L29" s="7">
        <v>2770</v>
      </c>
    </row>
    <row r="30" spans="1:12" x14ac:dyDescent="0.35">
      <c r="A30" t="s">
        <v>236</v>
      </c>
      <c r="B30" s="7">
        <v>93</v>
      </c>
      <c r="C30" s="7"/>
      <c r="D30" s="7">
        <v>15691</v>
      </c>
      <c r="E30" s="7">
        <v>3624</v>
      </c>
      <c r="F30" s="7"/>
      <c r="G30" s="7"/>
      <c r="H30" s="7"/>
      <c r="I30" s="7"/>
      <c r="J30" s="7"/>
      <c r="K30" s="7"/>
      <c r="L30" s="7">
        <v>19408</v>
      </c>
    </row>
    <row r="32" spans="1:12" x14ac:dyDescent="0.35">
      <c r="B32" s="7">
        <f>SUM(B9,B10:B21,B22*-1)</f>
        <v>0</v>
      </c>
      <c r="C32" s="7">
        <f t="shared" ref="C32:L32" si="0">SUM(C9,C10:C21,C22*-1)</f>
        <v>0</v>
      </c>
      <c r="D32" s="7">
        <f t="shared" si="0"/>
        <v>-2</v>
      </c>
      <c r="E32" s="7">
        <f t="shared" si="0"/>
        <v>0</v>
      </c>
      <c r="F32" s="7">
        <f t="shared" si="0"/>
        <v>0</v>
      </c>
      <c r="G32" s="7">
        <f t="shared" si="0"/>
        <v>0</v>
      </c>
      <c r="H32" s="7">
        <f t="shared" si="0"/>
        <v>-1</v>
      </c>
      <c r="I32" s="7">
        <f t="shared" si="0"/>
        <v>-1</v>
      </c>
      <c r="J32" s="7">
        <f t="shared" si="0"/>
        <v>1</v>
      </c>
      <c r="K32" s="7">
        <f t="shared" si="0"/>
        <v>0</v>
      </c>
      <c r="L32" s="7">
        <f t="shared" si="0"/>
        <v>-1</v>
      </c>
    </row>
  </sheetData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Ark37"/>
  <dimension ref="A1:L32"/>
  <sheetViews>
    <sheetView workbookViewId="0">
      <selection activeCell="A3" sqref="A3:L30"/>
    </sheetView>
  </sheetViews>
  <sheetFormatPr defaultRowHeight="14.5" x14ac:dyDescent="0.35"/>
  <cols>
    <col min="1" max="1" width="30" customWidth="1"/>
    <col min="2" max="2" width="11.54296875" customWidth="1"/>
    <col min="3" max="3" width="12" customWidth="1"/>
    <col min="4" max="4" width="14.54296875" customWidth="1"/>
    <col min="5" max="5" width="14.1796875" customWidth="1"/>
    <col min="8" max="8" width="22.81640625" customWidth="1"/>
    <col min="9" max="9" width="21.81640625" customWidth="1"/>
    <col min="10" max="10" width="13.81640625" customWidth="1"/>
    <col min="11" max="11" width="12.26953125" customWidth="1"/>
    <col min="12" max="12" width="11.81640625" customWidth="1"/>
  </cols>
  <sheetData>
    <row r="1" spans="1:12" x14ac:dyDescent="0.35">
      <c r="B1" t="s">
        <v>214</v>
      </c>
      <c r="C1" t="s">
        <v>2</v>
      </c>
      <c r="D1" t="s">
        <v>215</v>
      </c>
      <c r="E1" t="s">
        <v>216</v>
      </c>
      <c r="F1" t="s">
        <v>5</v>
      </c>
      <c r="G1" t="s">
        <v>6</v>
      </c>
      <c r="H1" t="s">
        <v>217</v>
      </c>
      <c r="I1" t="s">
        <v>8</v>
      </c>
      <c r="J1" t="s">
        <v>9</v>
      </c>
      <c r="K1" t="s">
        <v>10</v>
      </c>
      <c r="L1" t="s">
        <v>218</v>
      </c>
    </row>
    <row r="2" spans="1:12" x14ac:dyDescent="0.35">
      <c r="B2" t="s">
        <v>219</v>
      </c>
      <c r="C2" t="s">
        <v>219</v>
      </c>
      <c r="D2" t="s">
        <v>219</v>
      </c>
      <c r="E2" t="s">
        <v>219</v>
      </c>
      <c r="F2" t="s">
        <v>219</v>
      </c>
      <c r="G2" t="s">
        <v>219</v>
      </c>
      <c r="H2" t="s">
        <v>219</v>
      </c>
      <c r="I2" t="s">
        <v>219</v>
      </c>
      <c r="J2" t="s">
        <v>219</v>
      </c>
      <c r="K2" t="s">
        <v>219</v>
      </c>
      <c r="L2" t="s">
        <v>219</v>
      </c>
    </row>
    <row r="3" spans="1:12" x14ac:dyDescent="0.35">
      <c r="A3" t="s">
        <v>17</v>
      </c>
      <c r="B3" s="7">
        <v>33411</v>
      </c>
      <c r="C3" s="7">
        <v>368454</v>
      </c>
      <c r="D3" s="7"/>
      <c r="E3" s="7">
        <v>83985</v>
      </c>
      <c r="F3" s="7">
        <v>3185</v>
      </c>
      <c r="G3" s="7">
        <v>45777</v>
      </c>
      <c r="H3" s="7">
        <v>1542</v>
      </c>
      <c r="I3" s="7">
        <v>74858</v>
      </c>
      <c r="J3" s="7"/>
      <c r="K3" s="7">
        <v>74</v>
      </c>
      <c r="L3" s="7">
        <v>611286</v>
      </c>
    </row>
    <row r="4" spans="1:12" x14ac:dyDescent="0.35">
      <c r="A4" t="s">
        <v>220</v>
      </c>
      <c r="B4" s="7">
        <v>12035</v>
      </c>
      <c r="C4" s="7">
        <v>67044</v>
      </c>
      <c r="D4" s="7">
        <v>50123</v>
      </c>
      <c r="E4" s="7">
        <v>2209</v>
      </c>
      <c r="F4" s="7"/>
      <c r="G4" s="7"/>
      <c r="H4" s="7"/>
      <c r="I4" s="7">
        <v>52</v>
      </c>
      <c r="J4" s="7">
        <v>4698</v>
      </c>
      <c r="K4" s="7"/>
      <c r="L4" s="7">
        <v>136161</v>
      </c>
    </row>
    <row r="5" spans="1:12" x14ac:dyDescent="0.35">
      <c r="A5" t="s">
        <v>221</v>
      </c>
      <c r="B5" s="7">
        <v>-29128</v>
      </c>
      <c r="C5" s="7">
        <v>-167028</v>
      </c>
      <c r="D5" s="7">
        <v>-89334</v>
      </c>
      <c r="E5" s="7">
        <v>-9268</v>
      </c>
      <c r="F5" s="7"/>
      <c r="G5" s="7"/>
      <c r="H5" s="7"/>
      <c r="I5" s="7">
        <v>-127</v>
      </c>
      <c r="J5" s="7">
        <v>-4805</v>
      </c>
      <c r="K5" s="7"/>
      <c r="L5" s="7">
        <v>-299690</v>
      </c>
    </row>
    <row r="6" spans="1:12" x14ac:dyDescent="0.35">
      <c r="A6" t="s">
        <v>222</v>
      </c>
      <c r="B6" s="7"/>
      <c r="C6" s="7"/>
      <c r="D6" s="7">
        <v>-11315</v>
      </c>
      <c r="E6" s="7"/>
      <c r="F6" s="7"/>
      <c r="G6" s="7"/>
      <c r="H6" s="7"/>
      <c r="I6" s="7"/>
      <c r="J6" s="7"/>
      <c r="K6" s="7"/>
      <c r="L6" s="7">
        <v>-11315</v>
      </c>
    </row>
    <row r="7" spans="1:12" x14ac:dyDescent="0.35">
      <c r="A7" t="s">
        <v>223</v>
      </c>
      <c r="B7" s="7"/>
      <c r="C7" s="7"/>
      <c r="D7" s="7">
        <v>-5049</v>
      </c>
      <c r="E7" s="7"/>
      <c r="F7" s="7"/>
      <c r="G7" s="7"/>
      <c r="H7" s="7"/>
      <c r="I7" s="7"/>
      <c r="J7" s="7"/>
      <c r="K7" s="7"/>
      <c r="L7" s="7">
        <v>-5049</v>
      </c>
    </row>
    <row r="8" spans="1:12" x14ac:dyDescent="0.35">
      <c r="A8" t="s">
        <v>224</v>
      </c>
      <c r="B8" s="7">
        <v>1164</v>
      </c>
      <c r="C8" s="7">
        <v>-1587</v>
      </c>
      <c r="D8" s="7">
        <v>-1363</v>
      </c>
      <c r="E8" s="7"/>
      <c r="F8" s="7"/>
      <c r="G8" s="7"/>
      <c r="H8" s="7"/>
      <c r="I8" s="7">
        <v>950</v>
      </c>
      <c r="J8" s="7"/>
      <c r="K8" s="7"/>
      <c r="L8" s="7">
        <v>-836</v>
      </c>
    </row>
    <row r="9" spans="1:12" x14ac:dyDescent="0.35">
      <c r="A9" t="s">
        <v>225</v>
      </c>
      <c r="B9" s="7">
        <v>17482</v>
      </c>
      <c r="C9" s="7">
        <v>266883</v>
      </c>
      <c r="D9" s="7">
        <v>-56937</v>
      </c>
      <c r="E9" s="7">
        <v>76927</v>
      </c>
      <c r="F9" s="7">
        <v>3185</v>
      </c>
      <c r="G9" s="7">
        <v>45777</v>
      </c>
      <c r="H9" s="7">
        <v>1542</v>
      </c>
      <c r="I9" s="7">
        <v>75732</v>
      </c>
      <c r="J9" s="7">
        <v>-107</v>
      </c>
      <c r="K9" s="7">
        <v>74</v>
      </c>
      <c r="L9" s="7">
        <v>430557</v>
      </c>
    </row>
    <row r="10" spans="1:12" x14ac:dyDescent="0.35">
      <c r="A10" t="s">
        <v>226</v>
      </c>
      <c r="B10" s="7"/>
      <c r="C10" s="7">
        <v>-5959</v>
      </c>
      <c r="D10" s="7">
        <v>6400</v>
      </c>
      <c r="E10" s="7"/>
      <c r="F10" s="7"/>
      <c r="G10" s="7"/>
      <c r="H10" s="7"/>
      <c r="I10" s="7"/>
      <c r="J10" s="7"/>
      <c r="K10" s="7"/>
      <c r="L10" s="7">
        <v>441</v>
      </c>
    </row>
    <row r="11" spans="1:12" x14ac:dyDescent="0.35">
      <c r="A11" t="s">
        <v>227</v>
      </c>
      <c r="B11" s="7">
        <v>709</v>
      </c>
      <c r="C11" s="7">
        <v>-3434</v>
      </c>
      <c r="D11" s="7">
        <v>-1078</v>
      </c>
      <c r="E11" s="7">
        <v>419</v>
      </c>
      <c r="F11" s="7"/>
      <c r="G11" s="7"/>
      <c r="H11" s="7"/>
      <c r="I11" s="7">
        <v>143</v>
      </c>
      <c r="J11" s="7">
        <v>-50</v>
      </c>
      <c r="K11" s="7"/>
      <c r="L11" s="7">
        <v>-3292</v>
      </c>
    </row>
    <row r="12" spans="1:12" x14ac:dyDescent="0.35">
      <c r="A12" t="s">
        <v>228</v>
      </c>
      <c r="B12" s="7">
        <v>-3491</v>
      </c>
      <c r="C12" s="7">
        <v>-1437</v>
      </c>
      <c r="D12" s="7">
        <v>-17989</v>
      </c>
      <c r="E12" s="7">
        <v>-19820</v>
      </c>
      <c r="F12" s="7">
        <v>-3185</v>
      </c>
      <c r="G12" s="7">
        <v>-45777</v>
      </c>
      <c r="H12" s="7">
        <v>-1453</v>
      </c>
      <c r="I12" s="7">
        <v>-1448</v>
      </c>
      <c r="J12" s="7">
        <v>64116</v>
      </c>
      <c r="K12" s="7">
        <v>-74</v>
      </c>
      <c r="L12" s="7">
        <v>-30558</v>
      </c>
    </row>
    <row r="13" spans="1:12" x14ac:dyDescent="0.35">
      <c r="A13" t="s">
        <v>66</v>
      </c>
      <c r="B13" s="7">
        <v>-983</v>
      </c>
      <c r="C13" s="7"/>
      <c r="D13" s="7">
        <v>-703</v>
      </c>
      <c r="E13" s="7">
        <v>-570</v>
      </c>
      <c r="F13" s="7"/>
      <c r="G13" s="7"/>
      <c r="H13" s="7"/>
      <c r="I13" s="7">
        <v>-1609</v>
      </c>
      <c r="J13" s="7">
        <v>1494</v>
      </c>
      <c r="K13" s="7"/>
      <c r="L13" s="7">
        <v>-2370</v>
      </c>
    </row>
    <row r="14" spans="1:12" x14ac:dyDescent="0.35">
      <c r="A14" t="s">
        <v>229</v>
      </c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</row>
    <row r="15" spans="1:12" x14ac:dyDescent="0.35">
      <c r="A15" t="s">
        <v>230</v>
      </c>
      <c r="B15" s="7">
        <v>11</v>
      </c>
      <c r="C15" s="7"/>
      <c r="D15" s="7">
        <v>-42</v>
      </c>
      <c r="E15" s="7">
        <v>21</v>
      </c>
      <c r="F15" s="7"/>
      <c r="G15" s="7"/>
      <c r="H15" s="7"/>
      <c r="I15" s="7"/>
      <c r="J15" s="7"/>
      <c r="K15" s="7"/>
      <c r="L15" s="7">
        <v>-10</v>
      </c>
    </row>
    <row r="16" spans="1:12" x14ac:dyDescent="0.35">
      <c r="A16" t="s">
        <v>70</v>
      </c>
      <c r="B16" s="7"/>
      <c r="C16" s="7">
        <v>-257493</v>
      </c>
      <c r="D16" s="7">
        <v>253310</v>
      </c>
      <c r="E16" s="7"/>
      <c r="F16" s="7"/>
      <c r="G16" s="7"/>
      <c r="H16" s="7"/>
      <c r="I16" s="7"/>
      <c r="J16" s="7"/>
      <c r="K16" s="7"/>
      <c r="L16" s="7">
        <v>-4183</v>
      </c>
    </row>
    <row r="17" spans="1:12" x14ac:dyDescent="0.35">
      <c r="A17" t="s">
        <v>231</v>
      </c>
      <c r="B17" s="7">
        <v>-3295</v>
      </c>
      <c r="C17" s="7"/>
      <c r="D17" s="7">
        <v>-681</v>
      </c>
      <c r="E17" s="7"/>
      <c r="F17" s="7"/>
      <c r="G17" s="7"/>
      <c r="H17" s="7"/>
      <c r="I17" s="7"/>
      <c r="J17" s="7"/>
      <c r="K17" s="7"/>
      <c r="L17" s="7">
        <v>-3976</v>
      </c>
    </row>
    <row r="18" spans="1:12" x14ac:dyDescent="0.35">
      <c r="A18" t="s">
        <v>232</v>
      </c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</row>
    <row r="19" spans="1:12" x14ac:dyDescent="0.35">
      <c r="A19" t="s">
        <v>233</v>
      </c>
      <c r="B19" s="7"/>
      <c r="C19" s="7">
        <v>2977</v>
      </c>
      <c r="D19" s="7">
        <v>-2942</v>
      </c>
      <c r="E19" s="7"/>
      <c r="F19" s="7"/>
      <c r="G19" s="7"/>
      <c r="H19" s="7"/>
      <c r="I19" s="7">
        <v>-5689</v>
      </c>
      <c r="J19" s="7"/>
      <c r="K19" s="7"/>
      <c r="L19" s="7">
        <v>-5655</v>
      </c>
    </row>
    <row r="20" spans="1:12" x14ac:dyDescent="0.35">
      <c r="A20" t="s">
        <v>234</v>
      </c>
      <c r="B20" s="7">
        <v>-750</v>
      </c>
      <c r="C20" s="7">
        <v>-192</v>
      </c>
      <c r="D20" s="7">
        <v>-15269</v>
      </c>
      <c r="E20" s="7">
        <v>-18200</v>
      </c>
      <c r="F20" s="7"/>
      <c r="G20" s="7"/>
      <c r="H20" s="7"/>
      <c r="I20" s="7">
        <v>-5546</v>
      </c>
      <c r="J20" s="7">
        <v>-1843</v>
      </c>
      <c r="K20" s="7"/>
      <c r="L20" s="7">
        <v>-41799</v>
      </c>
    </row>
    <row r="21" spans="1:12" x14ac:dyDescent="0.35">
      <c r="A21" t="s">
        <v>235</v>
      </c>
      <c r="B21" s="7">
        <v>-417</v>
      </c>
      <c r="C21" s="7">
        <v>-7</v>
      </c>
      <c r="D21" s="7">
        <v>-458</v>
      </c>
      <c r="E21" s="7">
        <v>-982</v>
      </c>
      <c r="F21" s="7"/>
      <c r="G21" s="7"/>
      <c r="H21" s="7"/>
      <c r="I21" s="7">
        <v>-169</v>
      </c>
      <c r="J21" s="7">
        <v>-10703</v>
      </c>
      <c r="K21" s="7"/>
      <c r="L21" s="7">
        <v>-12736</v>
      </c>
    </row>
    <row r="22" spans="1:12" x14ac:dyDescent="0.35">
      <c r="A22" t="s">
        <v>131</v>
      </c>
      <c r="B22" s="7">
        <v>9267</v>
      </c>
      <c r="C22" s="7">
        <v>1337</v>
      </c>
      <c r="D22" s="7">
        <v>163611</v>
      </c>
      <c r="E22" s="7">
        <v>37795</v>
      </c>
      <c r="F22" s="7"/>
      <c r="G22" s="7"/>
      <c r="H22" s="7">
        <v>89</v>
      </c>
      <c r="I22" s="7">
        <v>61413</v>
      </c>
      <c r="J22" s="7">
        <v>52908</v>
      </c>
      <c r="K22" s="7"/>
      <c r="L22" s="7">
        <v>326419</v>
      </c>
    </row>
    <row r="23" spans="1:12" x14ac:dyDescent="0.35">
      <c r="A23" t="s">
        <v>80</v>
      </c>
      <c r="B23" s="7">
        <v>8989</v>
      </c>
      <c r="C23" s="7">
        <v>1337</v>
      </c>
      <c r="D23" s="7">
        <v>26009</v>
      </c>
      <c r="E23" s="7">
        <v>19435</v>
      </c>
      <c r="F23" s="7"/>
      <c r="G23" s="7"/>
      <c r="H23" s="7"/>
      <c r="I23" s="7">
        <v>29227</v>
      </c>
      <c r="J23" s="7">
        <v>23519</v>
      </c>
      <c r="K23" s="7"/>
      <c r="L23" s="7">
        <v>108515</v>
      </c>
    </row>
    <row r="24" spans="1:12" x14ac:dyDescent="0.35">
      <c r="A24" t="s">
        <v>82</v>
      </c>
      <c r="B24" s="7">
        <v>1</v>
      </c>
      <c r="C24" s="7"/>
      <c r="D24" s="7">
        <v>89878</v>
      </c>
      <c r="E24" s="7">
        <v>2706</v>
      </c>
      <c r="F24" s="7"/>
      <c r="G24" s="7"/>
      <c r="H24" s="7"/>
      <c r="I24" s="7">
        <v>5829</v>
      </c>
      <c r="J24" s="7">
        <v>190</v>
      </c>
      <c r="K24" s="7"/>
      <c r="L24" s="7">
        <v>98604</v>
      </c>
    </row>
    <row r="25" spans="1:12" x14ac:dyDescent="0.35">
      <c r="A25" t="s">
        <v>86</v>
      </c>
      <c r="B25" s="7">
        <v>79</v>
      </c>
      <c r="C25" s="7"/>
      <c r="D25" s="7">
        <v>13694</v>
      </c>
      <c r="E25" s="7">
        <v>7653</v>
      </c>
      <c r="F25" s="7"/>
      <c r="G25" s="7"/>
      <c r="H25" s="7">
        <v>56</v>
      </c>
      <c r="I25" s="7">
        <v>23193</v>
      </c>
      <c r="J25" s="7">
        <v>15031</v>
      </c>
      <c r="K25" s="7"/>
      <c r="L25" s="7">
        <v>59706</v>
      </c>
    </row>
    <row r="26" spans="1:12" x14ac:dyDescent="0.35">
      <c r="A26" t="s">
        <v>88</v>
      </c>
      <c r="B26" s="7">
        <v>3</v>
      </c>
      <c r="C26" s="7"/>
      <c r="D26" s="7">
        <v>2542</v>
      </c>
      <c r="E26" s="7">
        <v>1650</v>
      </c>
      <c r="F26" s="7"/>
      <c r="G26" s="7"/>
      <c r="H26" s="7">
        <v>2</v>
      </c>
      <c r="I26" s="7">
        <v>525</v>
      </c>
      <c r="J26" s="7">
        <v>12216</v>
      </c>
      <c r="K26" s="7"/>
      <c r="L26" s="7">
        <v>16939</v>
      </c>
    </row>
    <row r="27" spans="1:12" x14ac:dyDescent="0.35">
      <c r="A27" t="s">
        <v>90</v>
      </c>
      <c r="B27" s="7">
        <v>8</v>
      </c>
      <c r="C27" s="7"/>
      <c r="D27" s="7">
        <v>8815</v>
      </c>
      <c r="E27" s="7"/>
      <c r="F27" s="7"/>
      <c r="G27" s="7"/>
      <c r="H27" s="7"/>
      <c r="I27" s="7">
        <v>2478</v>
      </c>
      <c r="J27" s="7">
        <v>1566</v>
      </c>
      <c r="K27" s="7"/>
      <c r="L27" s="7">
        <v>12867</v>
      </c>
    </row>
    <row r="28" spans="1:12" x14ac:dyDescent="0.35">
      <c r="A28" t="s">
        <v>92</v>
      </c>
      <c r="B28" s="7"/>
      <c r="C28" s="7"/>
      <c r="D28" s="7">
        <v>257</v>
      </c>
      <c r="E28" s="7"/>
      <c r="F28" s="7"/>
      <c r="G28" s="7"/>
      <c r="H28" s="7"/>
      <c r="I28" s="7">
        <v>1</v>
      </c>
      <c r="J28" s="7"/>
      <c r="K28" s="7"/>
      <c r="L28" s="7">
        <v>259</v>
      </c>
    </row>
    <row r="29" spans="1:12" x14ac:dyDescent="0.35">
      <c r="A29" t="s">
        <v>94</v>
      </c>
      <c r="B29" s="7">
        <v>1</v>
      </c>
      <c r="C29" s="7"/>
      <c r="D29" s="7">
        <v>1131</v>
      </c>
      <c r="E29" s="7">
        <v>25</v>
      </c>
      <c r="F29" s="7"/>
      <c r="G29" s="7"/>
      <c r="H29" s="7">
        <v>30</v>
      </c>
      <c r="I29" s="7">
        <v>160</v>
      </c>
      <c r="J29" s="7">
        <v>385</v>
      </c>
      <c r="K29" s="7"/>
      <c r="L29" s="7">
        <v>1733</v>
      </c>
    </row>
    <row r="30" spans="1:12" x14ac:dyDescent="0.35">
      <c r="A30" t="s">
        <v>236</v>
      </c>
      <c r="B30" s="7">
        <v>185</v>
      </c>
      <c r="C30" s="7"/>
      <c r="D30" s="7">
        <v>21285</v>
      </c>
      <c r="E30" s="7">
        <v>6326</v>
      </c>
      <c r="F30" s="7"/>
      <c r="G30" s="7"/>
      <c r="H30" s="7"/>
      <c r="I30" s="7"/>
      <c r="J30" s="7"/>
      <c r="K30" s="7"/>
      <c r="L30" s="7">
        <v>27796</v>
      </c>
    </row>
    <row r="32" spans="1:12" x14ac:dyDescent="0.35">
      <c r="B32" s="7">
        <f>SUM(B9,B10:B21,B22*-1)</f>
        <v>-1</v>
      </c>
      <c r="C32" s="7">
        <f t="shared" ref="C32:L32" si="0">SUM(C9,C10:C21,C22*-1)</f>
        <v>1</v>
      </c>
      <c r="D32" s="7">
        <f t="shared" si="0"/>
        <v>0</v>
      </c>
      <c r="E32" s="7">
        <f t="shared" si="0"/>
        <v>0</v>
      </c>
      <c r="F32" s="7">
        <f t="shared" si="0"/>
        <v>0</v>
      </c>
      <c r="G32" s="7">
        <f t="shared" si="0"/>
        <v>0</v>
      </c>
      <c r="H32" s="7">
        <f t="shared" si="0"/>
        <v>0</v>
      </c>
      <c r="I32" s="7">
        <f t="shared" si="0"/>
        <v>1</v>
      </c>
      <c r="J32" s="7">
        <f t="shared" si="0"/>
        <v>-1</v>
      </c>
      <c r="K32" s="7">
        <f t="shared" si="0"/>
        <v>0</v>
      </c>
      <c r="L32" s="7">
        <f t="shared" si="0"/>
        <v>0</v>
      </c>
    </row>
  </sheetData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Ark38"/>
  <dimension ref="A1:L32"/>
  <sheetViews>
    <sheetView workbookViewId="0">
      <selection activeCell="P32" sqref="P32"/>
    </sheetView>
  </sheetViews>
  <sheetFormatPr defaultRowHeight="14.5" x14ac:dyDescent="0.35"/>
  <cols>
    <col min="1" max="1" width="30" customWidth="1"/>
    <col min="2" max="2" width="11.54296875" customWidth="1"/>
    <col min="3" max="3" width="12" customWidth="1"/>
    <col min="4" max="4" width="14.54296875" customWidth="1"/>
    <col min="5" max="5" width="14.1796875" customWidth="1"/>
    <col min="8" max="8" width="22.81640625" customWidth="1"/>
    <col min="9" max="9" width="21.81640625" customWidth="1"/>
    <col min="10" max="10" width="13.81640625" customWidth="1"/>
    <col min="11" max="11" width="12.26953125" customWidth="1"/>
    <col min="12" max="12" width="11.81640625" customWidth="1"/>
  </cols>
  <sheetData>
    <row r="1" spans="1:12" x14ac:dyDescent="0.35">
      <c r="B1" t="s">
        <v>214</v>
      </c>
      <c r="C1" t="s">
        <v>2</v>
      </c>
      <c r="D1" t="s">
        <v>215</v>
      </c>
      <c r="E1" t="s">
        <v>216</v>
      </c>
      <c r="F1" t="s">
        <v>5</v>
      </c>
      <c r="G1" t="s">
        <v>6</v>
      </c>
      <c r="H1" t="s">
        <v>217</v>
      </c>
      <c r="I1" t="s">
        <v>8</v>
      </c>
      <c r="J1" t="s">
        <v>9</v>
      </c>
      <c r="K1" t="s">
        <v>10</v>
      </c>
      <c r="L1" t="s">
        <v>218</v>
      </c>
    </row>
    <row r="2" spans="1:12" x14ac:dyDescent="0.35">
      <c r="B2" t="s">
        <v>219</v>
      </c>
      <c r="C2" t="s">
        <v>219</v>
      </c>
      <c r="D2" t="s">
        <v>219</v>
      </c>
      <c r="E2" t="s">
        <v>219</v>
      </c>
      <c r="F2" t="s">
        <v>219</v>
      </c>
      <c r="G2" t="s">
        <v>219</v>
      </c>
      <c r="H2" t="s">
        <v>219</v>
      </c>
      <c r="I2" t="s">
        <v>219</v>
      </c>
      <c r="J2" t="s">
        <v>219</v>
      </c>
      <c r="K2" t="s">
        <v>219</v>
      </c>
      <c r="L2" t="s">
        <v>219</v>
      </c>
    </row>
    <row r="3" spans="1:12" x14ac:dyDescent="0.35">
      <c r="A3" t="s">
        <v>17</v>
      </c>
      <c r="B3" s="7">
        <v>46174</v>
      </c>
      <c r="C3" s="7">
        <v>393211</v>
      </c>
      <c r="D3" s="7"/>
      <c r="E3" s="7">
        <v>114156</v>
      </c>
      <c r="F3" s="7">
        <v>4359</v>
      </c>
      <c r="G3" s="7">
        <v>51169</v>
      </c>
      <c r="H3" s="7">
        <v>2343</v>
      </c>
      <c r="I3" s="7">
        <v>94108</v>
      </c>
      <c r="J3" s="7"/>
      <c r="K3" s="7">
        <v>165</v>
      </c>
      <c r="L3" s="7">
        <v>705683</v>
      </c>
    </row>
    <row r="4" spans="1:12" x14ac:dyDescent="0.35">
      <c r="A4" t="s">
        <v>220</v>
      </c>
      <c r="B4" s="7">
        <v>13605</v>
      </c>
      <c r="C4" s="7">
        <v>62509</v>
      </c>
      <c r="D4" s="7">
        <v>50412</v>
      </c>
      <c r="E4" s="7">
        <v>10010</v>
      </c>
      <c r="F4" s="7"/>
      <c r="G4" s="7"/>
      <c r="H4" s="7"/>
      <c r="I4" s="7">
        <v>68</v>
      </c>
      <c r="J4" s="7">
        <v>4412</v>
      </c>
      <c r="K4" s="7"/>
      <c r="L4" s="7">
        <v>141016</v>
      </c>
    </row>
    <row r="5" spans="1:12" x14ac:dyDescent="0.35">
      <c r="A5" t="s">
        <v>221</v>
      </c>
      <c r="B5" s="7">
        <v>-40170</v>
      </c>
      <c r="C5" s="7">
        <v>-182170</v>
      </c>
      <c r="D5" s="7">
        <v>-94930</v>
      </c>
      <c r="E5" s="7">
        <v>-26132</v>
      </c>
      <c r="F5" s="7"/>
      <c r="G5" s="7"/>
      <c r="H5" s="7"/>
      <c r="I5" s="7">
        <v>-1317</v>
      </c>
      <c r="J5" s="7">
        <v>-4454</v>
      </c>
      <c r="K5" s="7"/>
      <c r="L5" s="7">
        <v>-349172</v>
      </c>
    </row>
    <row r="6" spans="1:12" x14ac:dyDescent="0.35">
      <c r="A6" t="s">
        <v>222</v>
      </c>
      <c r="B6" s="7"/>
      <c r="C6" s="7"/>
      <c r="D6" s="7">
        <v>-11666</v>
      </c>
      <c r="E6" s="7"/>
      <c r="F6" s="7"/>
      <c r="G6" s="7"/>
      <c r="H6" s="7"/>
      <c r="I6" s="7"/>
      <c r="J6" s="7"/>
      <c r="K6" s="7"/>
      <c r="L6" s="7">
        <v>-11666</v>
      </c>
    </row>
    <row r="7" spans="1:12" x14ac:dyDescent="0.35">
      <c r="A7" t="s">
        <v>223</v>
      </c>
      <c r="B7" s="7"/>
      <c r="C7" s="7"/>
      <c r="D7" s="7">
        <v>-6272</v>
      </c>
      <c r="E7" s="7"/>
      <c r="F7" s="7"/>
      <c r="G7" s="7"/>
      <c r="H7" s="7"/>
      <c r="I7" s="7"/>
      <c r="J7" s="7"/>
      <c r="K7" s="7"/>
      <c r="L7" s="7">
        <v>-6272</v>
      </c>
    </row>
    <row r="8" spans="1:12" x14ac:dyDescent="0.35">
      <c r="A8" t="s">
        <v>224</v>
      </c>
      <c r="B8" s="7">
        <v>-886</v>
      </c>
      <c r="C8" s="7">
        <v>-165</v>
      </c>
      <c r="D8" s="7">
        <v>7071</v>
      </c>
      <c r="E8" s="7">
        <v>-31</v>
      </c>
      <c r="F8" s="7"/>
      <c r="G8" s="7"/>
      <c r="H8" s="7"/>
      <c r="I8" s="7">
        <v>339</v>
      </c>
      <c r="J8" s="7"/>
      <c r="K8" s="7"/>
      <c r="L8" s="7">
        <v>6327</v>
      </c>
    </row>
    <row r="9" spans="1:12" x14ac:dyDescent="0.35">
      <c r="A9" t="s">
        <v>225</v>
      </c>
      <c r="B9" s="7">
        <v>18723</v>
      </c>
      <c r="C9" s="7">
        <v>273384</v>
      </c>
      <c r="D9" s="7">
        <v>-55386</v>
      </c>
      <c r="E9" s="7">
        <v>98003</v>
      </c>
      <c r="F9" s="7">
        <v>4359</v>
      </c>
      <c r="G9" s="7">
        <v>51169</v>
      </c>
      <c r="H9" s="7">
        <v>2343</v>
      </c>
      <c r="I9" s="7">
        <v>93197</v>
      </c>
      <c r="J9" s="7">
        <v>-42</v>
      </c>
      <c r="K9" s="7">
        <v>165</v>
      </c>
      <c r="L9" s="7">
        <v>485916</v>
      </c>
    </row>
    <row r="10" spans="1:12" x14ac:dyDescent="0.35">
      <c r="A10" t="s">
        <v>226</v>
      </c>
      <c r="B10" s="7"/>
      <c r="C10" s="7">
        <v>-10786</v>
      </c>
      <c r="D10" s="7">
        <v>11612</v>
      </c>
      <c r="E10" s="7"/>
      <c r="F10" s="7"/>
      <c r="G10" s="7"/>
      <c r="H10" s="7"/>
      <c r="I10" s="7"/>
      <c r="J10" s="7"/>
      <c r="K10" s="7"/>
      <c r="L10" s="7">
        <v>826</v>
      </c>
    </row>
    <row r="11" spans="1:12" x14ac:dyDescent="0.35">
      <c r="A11" t="s">
        <v>227</v>
      </c>
      <c r="B11" s="7">
        <v>4</v>
      </c>
      <c r="C11" s="7">
        <v>-4051</v>
      </c>
      <c r="D11" s="7">
        <v>3162</v>
      </c>
      <c r="E11" s="7">
        <v>4313</v>
      </c>
      <c r="F11" s="7"/>
      <c r="G11" s="7"/>
      <c r="H11" s="7"/>
      <c r="I11" s="7">
        <v>202</v>
      </c>
      <c r="J11" s="7">
        <v>-62</v>
      </c>
      <c r="K11" s="7"/>
      <c r="L11" s="7">
        <v>3568</v>
      </c>
    </row>
    <row r="12" spans="1:12" x14ac:dyDescent="0.35">
      <c r="A12" t="s">
        <v>228</v>
      </c>
      <c r="B12" s="7">
        <v>-3784</v>
      </c>
      <c r="C12" s="7">
        <v>-2787</v>
      </c>
      <c r="D12" s="7">
        <v>-19625</v>
      </c>
      <c r="E12" s="7">
        <v>-26354</v>
      </c>
      <c r="F12" s="7">
        <v>-4359</v>
      </c>
      <c r="G12" s="7">
        <v>-51169</v>
      </c>
      <c r="H12" s="7">
        <v>-2178</v>
      </c>
      <c r="I12" s="7">
        <v>-2150</v>
      </c>
      <c r="J12" s="7">
        <v>73933</v>
      </c>
      <c r="K12" s="7">
        <v>-165</v>
      </c>
      <c r="L12" s="7">
        <v>-38637</v>
      </c>
    </row>
    <row r="13" spans="1:12" x14ac:dyDescent="0.35">
      <c r="A13" t="s">
        <v>66</v>
      </c>
      <c r="B13" s="7">
        <v>-1110</v>
      </c>
      <c r="C13" s="7"/>
      <c r="D13" s="7">
        <v>-552</v>
      </c>
      <c r="E13" s="7">
        <v>-1084</v>
      </c>
      <c r="F13" s="7"/>
      <c r="G13" s="7"/>
      <c r="H13" s="7"/>
      <c r="I13" s="7">
        <v>-2803</v>
      </c>
      <c r="J13" s="7">
        <v>2219</v>
      </c>
      <c r="K13" s="7"/>
      <c r="L13" s="7">
        <v>-3332</v>
      </c>
    </row>
    <row r="14" spans="1:12" x14ac:dyDescent="0.35">
      <c r="A14" t="s">
        <v>229</v>
      </c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</row>
    <row r="15" spans="1:12" x14ac:dyDescent="0.35">
      <c r="A15" t="s">
        <v>230</v>
      </c>
      <c r="B15" s="7"/>
      <c r="C15" s="7"/>
      <c r="D15" s="7">
        <v>-25</v>
      </c>
      <c r="E15" s="7">
        <v>22</v>
      </c>
      <c r="F15" s="7"/>
      <c r="G15" s="7"/>
      <c r="H15" s="7"/>
      <c r="I15" s="7"/>
      <c r="J15" s="7"/>
      <c r="K15" s="7"/>
      <c r="L15" s="7">
        <v>-2</v>
      </c>
    </row>
    <row r="16" spans="1:12" x14ac:dyDescent="0.35">
      <c r="A16" t="s">
        <v>70</v>
      </c>
      <c r="B16" s="7"/>
      <c r="C16" s="7">
        <v>-257981</v>
      </c>
      <c r="D16" s="7">
        <v>248979</v>
      </c>
      <c r="E16" s="7"/>
      <c r="F16" s="7"/>
      <c r="G16" s="7"/>
      <c r="H16" s="7"/>
      <c r="I16" s="7"/>
      <c r="J16" s="7"/>
      <c r="K16" s="7"/>
      <c r="L16" s="7">
        <v>-9002</v>
      </c>
    </row>
    <row r="17" spans="1:12" x14ac:dyDescent="0.35">
      <c r="A17" t="s">
        <v>231</v>
      </c>
      <c r="B17" s="7">
        <v>-3898</v>
      </c>
      <c r="C17" s="7"/>
      <c r="D17" s="7">
        <v>-557</v>
      </c>
      <c r="E17" s="7"/>
      <c r="F17" s="7"/>
      <c r="G17" s="7"/>
      <c r="H17" s="7"/>
      <c r="I17" s="7"/>
      <c r="J17" s="7"/>
      <c r="K17" s="7"/>
      <c r="L17" s="7">
        <v>-4456</v>
      </c>
    </row>
    <row r="18" spans="1:12" x14ac:dyDescent="0.35">
      <c r="A18" t="s">
        <v>232</v>
      </c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</row>
    <row r="19" spans="1:12" x14ac:dyDescent="0.35">
      <c r="A19" t="s">
        <v>233</v>
      </c>
      <c r="B19" s="7"/>
      <c r="C19" s="7">
        <v>2936</v>
      </c>
      <c r="D19" s="7">
        <v>-2936</v>
      </c>
      <c r="E19" s="7"/>
      <c r="F19" s="7"/>
      <c r="G19" s="7"/>
      <c r="H19" s="7"/>
      <c r="I19" s="7">
        <v>-7238</v>
      </c>
      <c r="J19" s="7"/>
      <c r="K19" s="7"/>
      <c r="L19" s="7">
        <v>-7238</v>
      </c>
    </row>
    <row r="20" spans="1:12" x14ac:dyDescent="0.35">
      <c r="A20" t="s">
        <v>234</v>
      </c>
      <c r="B20" s="7">
        <v>-760</v>
      </c>
      <c r="C20" s="7">
        <v>-163</v>
      </c>
      <c r="D20" s="7">
        <v>-16172</v>
      </c>
      <c r="E20" s="7">
        <v>-19501</v>
      </c>
      <c r="F20" s="7"/>
      <c r="G20" s="7"/>
      <c r="H20" s="7"/>
      <c r="I20" s="7">
        <v>-8086</v>
      </c>
      <c r="J20" s="7">
        <v>-2264</v>
      </c>
      <c r="K20" s="7"/>
      <c r="L20" s="7">
        <v>-46946</v>
      </c>
    </row>
    <row r="21" spans="1:12" x14ac:dyDescent="0.35">
      <c r="A21" t="s">
        <v>235</v>
      </c>
      <c r="B21" s="7">
        <v>-393</v>
      </c>
      <c r="C21" s="7">
        <v>-1</v>
      </c>
      <c r="D21" s="7">
        <v>-236</v>
      </c>
      <c r="E21" s="7">
        <v>-1026</v>
      </c>
      <c r="F21" s="7"/>
      <c r="G21" s="7"/>
      <c r="H21" s="7"/>
      <c r="I21" s="7">
        <v>-192</v>
      </c>
      <c r="J21" s="7">
        <v>-12584</v>
      </c>
      <c r="K21" s="7"/>
      <c r="L21" s="7">
        <v>-14432</v>
      </c>
    </row>
    <row r="22" spans="1:12" x14ac:dyDescent="0.35">
      <c r="A22" t="s">
        <v>131</v>
      </c>
      <c r="B22" s="7">
        <v>8782</v>
      </c>
      <c r="C22" s="7">
        <v>553</v>
      </c>
      <c r="D22" s="7">
        <v>168264</v>
      </c>
      <c r="E22" s="7">
        <v>54373</v>
      </c>
      <c r="F22" s="7"/>
      <c r="G22" s="7"/>
      <c r="H22" s="7">
        <v>164</v>
      </c>
      <c r="I22" s="7">
        <v>72931</v>
      </c>
      <c r="J22" s="7">
        <v>61199</v>
      </c>
      <c r="K22" s="7"/>
      <c r="L22" s="7">
        <v>366265</v>
      </c>
    </row>
    <row r="23" spans="1:12" x14ac:dyDescent="0.35">
      <c r="A23" t="s">
        <v>80</v>
      </c>
      <c r="B23" s="7">
        <v>8508</v>
      </c>
      <c r="C23" s="7">
        <v>553</v>
      </c>
      <c r="D23" s="7">
        <v>24019</v>
      </c>
      <c r="E23" s="7">
        <v>27675</v>
      </c>
      <c r="F23" s="7"/>
      <c r="G23" s="7"/>
      <c r="H23" s="7"/>
      <c r="I23" s="7">
        <v>35805</v>
      </c>
      <c r="J23" s="7">
        <v>28282</v>
      </c>
      <c r="K23" s="7"/>
      <c r="L23" s="7">
        <v>124842</v>
      </c>
    </row>
    <row r="24" spans="1:12" x14ac:dyDescent="0.35">
      <c r="A24" t="s">
        <v>82</v>
      </c>
      <c r="B24" s="7">
        <v>1</v>
      </c>
      <c r="C24" s="7"/>
      <c r="D24" s="7">
        <v>95822</v>
      </c>
      <c r="E24" s="7">
        <v>5863</v>
      </c>
      <c r="F24" s="7"/>
      <c r="G24" s="7"/>
      <c r="H24" s="7"/>
      <c r="I24" s="7">
        <v>6993</v>
      </c>
      <c r="J24" s="7">
        <v>233</v>
      </c>
      <c r="K24" s="7"/>
      <c r="L24" s="7">
        <v>108912</v>
      </c>
    </row>
    <row r="25" spans="1:12" x14ac:dyDescent="0.35">
      <c r="A25" t="s">
        <v>86</v>
      </c>
      <c r="B25" s="7">
        <v>67</v>
      </c>
      <c r="C25" s="7"/>
      <c r="D25" s="7">
        <v>12606</v>
      </c>
      <c r="E25" s="7">
        <v>8692</v>
      </c>
      <c r="F25" s="7"/>
      <c r="G25" s="7"/>
      <c r="H25" s="7">
        <v>60</v>
      </c>
      <c r="I25" s="7">
        <v>25920</v>
      </c>
      <c r="J25" s="7">
        <v>16733</v>
      </c>
      <c r="K25" s="7"/>
      <c r="L25" s="7">
        <v>64078</v>
      </c>
    </row>
    <row r="26" spans="1:12" x14ac:dyDescent="0.35">
      <c r="A26" t="s">
        <v>88</v>
      </c>
      <c r="B26" s="7"/>
      <c r="C26" s="7"/>
      <c r="D26" s="7">
        <v>2326</v>
      </c>
      <c r="E26" s="7">
        <v>2001</v>
      </c>
      <c r="F26" s="7"/>
      <c r="G26" s="7"/>
      <c r="H26" s="7">
        <v>3</v>
      </c>
      <c r="I26" s="7">
        <v>872</v>
      </c>
      <c r="J26" s="7">
        <v>13757</v>
      </c>
      <c r="K26" s="7"/>
      <c r="L26" s="7">
        <v>18959</v>
      </c>
    </row>
    <row r="27" spans="1:12" x14ac:dyDescent="0.35">
      <c r="A27" t="s">
        <v>90</v>
      </c>
      <c r="B27" s="7">
        <v>5</v>
      </c>
      <c r="C27" s="7"/>
      <c r="D27" s="7">
        <v>10257</v>
      </c>
      <c r="E27" s="7">
        <v>4</v>
      </c>
      <c r="F27" s="7"/>
      <c r="G27" s="7"/>
      <c r="H27" s="7"/>
      <c r="I27" s="7">
        <v>3183</v>
      </c>
      <c r="J27" s="7">
        <v>1818</v>
      </c>
      <c r="K27" s="7"/>
      <c r="L27" s="7">
        <v>15267</v>
      </c>
    </row>
    <row r="28" spans="1:12" x14ac:dyDescent="0.35">
      <c r="A28" t="s">
        <v>92</v>
      </c>
      <c r="B28" s="7"/>
      <c r="C28" s="7"/>
      <c r="D28" s="7">
        <v>268</v>
      </c>
      <c r="E28" s="7">
        <v>10</v>
      </c>
      <c r="F28" s="7"/>
      <c r="G28" s="7"/>
      <c r="H28" s="7"/>
      <c r="I28" s="7">
        <v>1</v>
      </c>
      <c r="J28" s="7"/>
      <c r="K28" s="7"/>
      <c r="L28" s="7">
        <v>279</v>
      </c>
    </row>
    <row r="29" spans="1:12" x14ac:dyDescent="0.35">
      <c r="A29" t="s">
        <v>94</v>
      </c>
      <c r="B29" s="7">
        <v>2</v>
      </c>
      <c r="C29" s="7"/>
      <c r="D29" s="7">
        <v>1670</v>
      </c>
      <c r="E29" s="7">
        <v>26</v>
      </c>
      <c r="F29" s="7"/>
      <c r="G29" s="7"/>
      <c r="H29" s="7">
        <v>102</v>
      </c>
      <c r="I29" s="7">
        <v>157</v>
      </c>
      <c r="J29" s="7">
        <v>376</v>
      </c>
      <c r="K29" s="7"/>
      <c r="L29" s="7">
        <v>2333</v>
      </c>
    </row>
    <row r="30" spans="1:12" x14ac:dyDescent="0.35">
      <c r="A30" t="s">
        <v>236</v>
      </c>
      <c r="B30" s="7">
        <v>200</v>
      </c>
      <c r="C30" s="7"/>
      <c r="D30" s="7">
        <v>21295</v>
      </c>
      <c r="E30" s="7">
        <v>10103</v>
      </c>
      <c r="F30" s="7"/>
      <c r="G30" s="7"/>
      <c r="H30" s="7"/>
      <c r="I30" s="7"/>
      <c r="J30" s="7"/>
      <c r="K30" s="7"/>
      <c r="L30" s="7">
        <v>31597</v>
      </c>
    </row>
    <row r="32" spans="1:12" x14ac:dyDescent="0.35">
      <c r="B32" s="7">
        <f>SUM(B9,B10:B21,B22*-1)</f>
        <v>0</v>
      </c>
      <c r="C32" s="7">
        <f t="shared" ref="C32:L32" si="0">SUM(C9,C10:C21,C22*-1)</f>
        <v>-2</v>
      </c>
      <c r="D32" s="7">
        <f t="shared" si="0"/>
        <v>0</v>
      </c>
      <c r="E32" s="7">
        <f t="shared" si="0"/>
        <v>0</v>
      </c>
      <c r="F32" s="7">
        <f t="shared" si="0"/>
        <v>0</v>
      </c>
      <c r="G32" s="7">
        <f t="shared" si="0"/>
        <v>0</v>
      </c>
      <c r="H32" s="7">
        <f t="shared" si="0"/>
        <v>1</v>
      </c>
      <c r="I32" s="7">
        <f t="shared" si="0"/>
        <v>-1</v>
      </c>
      <c r="J32" s="7">
        <f t="shared" si="0"/>
        <v>1</v>
      </c>
      <c r="K32" s="7">
        <f t="shared" si="0"/>
        <v>0</v>
      </c>
      <c r="L32" s="7">
        <f t="shared" si="0"/>
        <v>0</v>
      </c>
    </row>
  </sheetData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Ark39"/>
  <dimension ref="A1:L32"/>
  <sheetViews>
    <sheetView workbookViewId="0">
      <selection activeCell="A3" sqref="A3:L30"/>
    </sheetView>
  </sheetViews>
  <sheetFormatPr defaultRowHeight="14.5" x14ac:dyDescent="0.35"/>
  <cols>
    <col min="1" max="1" width="30" customWidth="1"/>
    <col min="2" max="2" width="11.54296875" customWidth="1"/>
    <col min="3" max="3" width="12" customWidth="1"/>
    <col min="4" max="4" width="14.54296875" customWidth="1"/>
    <col min="5" max="5" width="14.1796875" customWidth="1"/>
    <col min="8" max="8" width="22.81640625" customWidth="1"/>
    <col min="9" max="9" width="21.81640625" customWidth="1"/>
    <col min="10" max="10" width="13.81640625" customWidth="1"/>
    <col min="11" max="11" width="12.26953125" customWidth="1"/>
    <col min="12" max="12" width="11.81640625" customWidth="1"/>
  </cols>
  <sheetData>
    <row r="1" spans="1:12" x14ac:dyDescent="0.35">
      <c r="B1" t="s">
        <v>214</v>
      </c>
      <c r="C1" t="s">
        <v>2</v>
      </c>
      <c r="D1" t="s">
        <v>215</v>
      </c>
      <c r="E1" t="s">
        <v>216</v>
      </c>
      <c r="F1" t="s">
        <v>5</v>
      </c>
      <c r="G1" t="s">
        <v>6</v>
      </c>
      <c r="H1" t="s">
        <v>217</v>
      </c>
      <c r="I1" t="s">
        <v>8</v>
      </c>
      <c r="J1" t="s">
        <v>9</v>
      </c>
      <c r="K1" t="s">
        <v>10</v>
      </c>
      <c r="L1" t="s">
        <v>218</v>
      </c>
    </row>
    <row r="2" spans="1:12" x14ac:dyDescent="0.35">
      <c r="B2" t="s">
        <v>219</v>
      </c>
      <c r="C2" t="s">
        <v>219</v>
      </c>
      <c r="D2" t="s">
        <v>219</v>
      </c>
      <c r="E2" t="s">
        <v>219</v>
      </c>
      <c r="F2" t="s">
        <v>219</v>
      </c>
      <c r="G2" t="s">
        <v>219</v>
      </c>
      <c r="H2" t="s">
        <v>219</v>
      </c>
      <c r="I2" t="s">
        <v>219</v>
      </c>
      <c r="J2" t="s">
        <v>219</v>
      </c>
      <c r="K2" t="s">
        <v>219</v>
      </c>
      <c r="L2" t="s">
        <v>219</v>
      </c>
    </row>
    <row r="3" spans="1:12" x14ac:dyDescent="0.35">
      <c r="A3" t="s">
        <v>17</v>
      </c>
      <c r="B3" s="7">
        <v>52524</v>
      </c>
      <c r="C3" s="7">
        <v>404710</v>
      </c>
      <c r="D3" s="7"/>
      <c r="E3" s="7">
        <v>133137</v>
      </c>
      <c r="F3" s="7">
        <v>5653</v>
      </c>
      <c r="G3" s="7">
        <v>57791</v>
      </c>
      <c r="H3" s="7">
        <v>3439</v>
      </c>
      <c r="I3" s="7">
        <v>117953</v>
      </c>
      <c r="J3" s="7"/>
      <c r="K3" s="7">
        <v>68</v>
      </c>
      <c r="L3" s="7">
        <v>775276</v>
      </c>
    </row>
    <row r="4" spans="1:12" x14ac:dyDescent="0.35">
      <c r="A4" t="s">
        <v>220</v>
      </c>
      <c r="B4" s="7">
        <v>15537</v>
      </c>
      <c r="C4" s="7">
        <v>46539</v>
      </c>
      <c r="D4" s="7">
        <v>76171</v>
      </c>
      <c r="E4" s="7">
        <v>16876</v>
      </c>
      <c r="F4" s="7"/>
      <c r="G4" s="7"/>
      <c r="H4" s="7"/>
      <c r="I4" s="7">
        <v>124</v>
      </c>
      <c r="J4" s="7">
        <v>4165</v>
      </c>
      <c r="K4" s="7"/>
      <c r="L4" s="7">
        <v>159412</v>
      </c>
    </row>
    <row r="5" spans="1:12" x14ac:dyDescent="0.35">
      <c r="A5" t="s">
        <v>221</v>
      </c>
      <c r="B5" s="7">
        <v>-47005</v>
      </c>
      <c r="C5" s="7">
        <v>-194585</v>
      </c>
      <c r="D5" s="7">
        <v>-57613</v>
      </c>
      <c r="E5" s="7">
        <v>-30858</v>
      </c>
      <c r="F5" s="7"/>
      <c r="G5" s="7"/>
      <c r="H5" s="7"/>
      <c r="I5" s="7">
        <v>-2337</v>
      </c>
      <c r="J5" s="7">
        <v>-4164</v>
      </c>
      <c r="K5" s="7"/>
      <c r="L5" s="7">
        <v>-336561</v>
      </c>
    </row>
    <row r="6" spans="1:12" x14ac:dyDescent="0.35">
      <c r="A6" t="s">
        <v>222</v>
      </c>
      <c r="B6" s="7"/>
      <c r="C6" s="7"/>
      <c r="D6" s="7">
        <v>-14116</v>
      </c>
      <c r="E6" s="7"/>
      <c r="F6" s="7"/>
      <c r="G6" s="7"/>
      <c r="H6" s="7"/>
      <c r="I6" s="7"/>
      <c r="J6" s="7"/>
      <c r="K6" s="7"/>
      <c r="L6" s="7">
        <v>-14116</v>
      </c>
    </row>
    <row r="7" spans="1:12" x14ac:dyDescent="0.35">
      <c r="A7" t="s">
        <v>223</v>
      </c>
      <c r="B7" s="7"/>
      <c r="C7" s="7"/>
      <c r="D7" s="7">
        <v>-7802</v>
      </c>
      <c r="E7" s="7"/>
      <c r="F7" s="7"/>
      <c r="G7" s="7"/>
      <c r="H7" s="7"/>
      <c r="I7" s="7"/>
      <c r="J7" s="7"/>
      <c r="K7" s="7"/>
      <c r="L7" s="7">
        <v>-7802</v>
      </c>
    </row>
    <row r="8" spans="1:12" x14ac:dyDescent="0.35">
      <c r="A8" t="s">
        <v>224</v>
      </c>
      <c r="B8" s="7">
        <v>385</v>
      </c>
      <c r="C8" s="7">
        <v>1810</v>
      </c>
      <c r="D8" s="7">
        <v>-263</v>
      </c>
      <c r="E8" s="7">
        <v>-6</v>
      </c>
      <c r="F8" s="7"/>
      <c r="G8" s="7"/>
      <c r="H8" s="7"/>
      <c r="I8" s="7">
        <v>-788</v>
      </c>
      <c r="J8" s="7"/>
      <c r="K8" s="7"/>
      <c r="L8" s="7">
        <v>1139</v>
      </c>
    </row>
    <row r="9" spans="1:12" x14ac:dyDescent="0.35">
      <c r="A9" t="s">
        <v>225</v>
      </c>
      <c r="B9" s="7">
        <v>21442</v>
      </c>
      <c r="C9" s="7">
        <v>258474</v>
      </c>
      <c r="D9" s="7">
        <v>-3622</v>
      </c>
      <c r="E9" s="7">
        <v>119150</v>
      </c>
      <c r="F9" s="7">
        <v>5653</v>
      </c>
      <c r="G9" s="7">
        <v>57791</v>
      </c>
      <c r="H9" s="7">
        <v>3439</v>
      </c>
      <c r="I9" s="7">
        <v>114952</v>
      </c>
      <c r="J9" s="7">
        <v>1</v>
      </c>
      <c r="K9" s="7">
        <v>68</v>
      </c>
      <c r="L9" s="7">
        <v>577348</v>
      </c>
    </row>
    <row r="10" spans="1:12" x14ac:dyDescent="0.35">
      <c r="A10" t="s">
        <v>226</v>
      </c>
      <c r="B10" s="7"/>
      <c r="C10" s="7">
        <v>-13745</v>
      </c>
      <c r="D10" s="7">
        <v>14453</v>
      </c>
      <c r="E10" s="7"/>
      <c r="F10" s="7"/>
      <c r="G10" s="7"/>
      <c r="H10" s="7"/>
      <c r="I10" s="7"/>
      <c r="J10" s="7"/>
      <c r="K10" s="7"/>
      <c r="L10" s="7">
        <v>708</v>
      </c>
    </row>
    <row r="11" spans="1:12" x14ac:dyDescent="0.35">
      <c r="A11" t="s">
        <v>227</v>
      </c>
      <c r="B11" s="7">
        <v>-335</v>
      </c>
      <c r="C11" s="7">
        <v>426</v>
      </c>
      <c r="D11" s="7">
        <v>-2554</v>
      </c>
      <c r="E11" s="7">
        <v>-976</v>
      </c>
      <c r="F11" s="7"/>
      <c r="G11" s="7"/>
      <c r="H11" s="7"/>
      <c r="I11" s="7">
        <v>-89</v>
      </c>
      <c r="J11" s="7">
        <v>-472</v>
      </c>
      <c r="K11" s="7"/>
      <c r="L11" s="7">
        <v>-4001</v>
      </c>
    </row>
    <row r="12" spans="1:12" x14ac:dyDescent="0.35">
      <c r="A12" t="s">
        <v>228</v>
      </c>
      <c r="B12" s="7">
        <v>-4488</v>
      </c>
      <c r="C12" s="7">
        <v>-2869</v>
      </c>
      <c r="D12" s="7">
        <v>-26350</v>
      </c>
      <c r="E12" s="7">
        <v>-32659</v>
      </c>
      <c r="F12" s="7">
        <v>-5653</v>
      </c>
      <c r="G12" s="7">
        <v>-57791</v>
      </c>
      <c r="H12" s="7">
        <v>-3057</v>
      </c>
      <c r="I12" s="7">
        <v>-3588</v>
      </c>
      <c r="J12" s="7">
        <v>87570</v>
      </c>
      <c r="K12" s="7">
        <v>-68</v>
      </c>
      <c r="L12" s="7">
        <v>-48952</v>
      </c>
    </row>
    <row r="13" spans="1:12" x14ac:dyDescent="0.35">
      <c r="A13" t="s">
        <v>66</v>
      </c>
      <c r="B13" s="7">
        <v>-1511</v>
      </c>
      <c r="C13" s="7"/>
      <c r="D13" s="7">
        <v>-695</v>
      </c>
      <c r="E13" s="7">
        <v>-2119</v>
      </c>
      <c r="F13" s="7"/>
      <c r="G13" s="7"/>
      <c r="H13" s="7"/>
      <c r="I13" s="7">
        <v>-5946</v>
      </c>
      <c r="J13" s="7">
        <v>4433</v>
      </c>
      <c r="K13" s="7"/>
      <c r="L13" s="7">
        <v>-5839</v>
      </c>
    </row>
    <row r="14" spans="1:12" x14ac:dyDescent="0.35">
      <c r="A14" t="s">
        <v>229</v>
      </c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</row>
    <row r="15" spans="1:12" x14ac:dyDescent="0.35">
      <c r="A15" t="s">
        <v>230</v>
      </c>
      <c r="B15" s="7"/>
      <c r="C15" s="7"/>
      <c r="D15" s="7">
        <v>-17</v>
      </c>
      <c r="E15" s="7">
        <v>15</v>
      </c>
      <c r="F15" s="7"/>
      <c r="G15" s="7"/>
      <c r="H15" s="7"/>
      <c r="I15" s="7"/>
      <c r="J15" s="7"/>
      <c r="K15" s="7"/>
      <c r="L15" s="7">
        <v>-2</v>
      </c>
    </row>
    <row r="16" spans="1:12" x14ac:dyDescent="0.35">
      <c r="A16" t="s">
        <v>70</v>
      </c>
      <c r="B16" s="7"/>
      <c r="C16" s="7">
        <v>-243609</v>
      </c>
      <c r="D16" s="7">
        <v>235457</v>
      </c>
      <c r="E16" s="7"/>
      <c r="F16" s="7"/>
      <c r="G16" s="7"/>
      <c r="H16" s="7"/>
      <c r="I16" s="7"/>
      <c r="J16" s="7"/>
      <c r="K16" s="7"/>
      <c r="L16" s="7">
        <v>-8151</v>
      </c>
    </row>
    <row r="17" spans="1:12" x14ac:dyDescent="0.35">
      <c r="A17" t="s">
        <v>231</v>
      </c>
      <c r="B17" s="7">
        <v>-3612</v>
      </c>
      <c r="C17" s="7"/>
      <c r="D17" s="7">
        <v>-1166</v>
      </c>
      <c r="E17" s="7"/>
      <c r="F17" s="7"/>
      <c r="G17" s="7"/>
      <c r="H17" s="7"/>
      <c r="I17" s="7">
        <v>-18</v>
      </c>
      <c r="J17" s="7"/>
      <c r="K17" s="7"/>
      <c r="L17" s="7">
        <v>-4796</v>
      </c>
    </row>
    <row r="18" spans="1:12" x14ac:dyDescent="0.35">
      <c r="A18" t="s">
        <v>232</v>
      </c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</row>
    <row r="19" spans="1:12" x14ac:dyDescent="0.35">
      <c r="A19" t="s">
        <v>233</v>
      </c>
      <c r="B19" s="7"/>
      <c r="C19" s="7">
        <v>3036</v>
      </c>
      <c r="D19" s="7">
        <v>-3036</v>
      </c>
      <c r="E19" s="7"/>
      <c r="F19" s="7"/>
      <c r="G19" s="7"/>
      <c r="H19" s="7"/>
      <c r="I19" s="7">
        <v>-5597</v>
      </c>
      <c r="J19" s="7"/>
      <c r="K19" s="7"/>
      <c r="L19" s="7">
        <v>-5597</v>
      </c>
    </row>
    <row r="20" spans="1:12" x14ac:dyDescent="0.35">
      <c r="A20" t="s">
        <v>234</v>
      </c>
      <c r="B20" s="7">
        <v>-466</v>
      </c>
      <c r="C20" s="7">
        <v>-563</v>
      </c>
      <c r="D20" s="7">
        <v>-15500</v>
      </c>
      <c r="E20" s="7">
        <v>-22373</v>
      </c>
      <c r="F20" s="7"/>
      <c r="G20" s="7"/>
      <c r="H20" s="7"/>
      <c r="I20" s="7">
        <v>-12838</v>
      </c>
      <c r="J20" s="7">
        <v>-3465</v>
      </c>
      <c r="K20" s="7"/>
      <c r="L20" s="7">
        <v>-55204</v>
      </c>
    </row>
    <row r="21" spans="1:12" x14ac:dyDescent="0.35">
      <c r="A21" t="s">
        <v>235</v>
      </c>
      <c r="B21" s="7">
        <v>-319</v>
      </c>
      <c r="C21" s="7">
        <v>-24</v>
      </c>
      <c r="D21" s="7">
        <v>-514</v>
      </c>
      <c r="E21" s="7">
        <v>-1826</v>
      </c>
      <c r="F21" s="7"/>
      <c r="G21" s="7"/>
      <c r="H21" s="7"/>
      <c r="I21" s="7">
        <v>-120</v>
      </c>
      <c r="J21" s="7">
        <v>-14350</v>
      </c>
      <c r="K21" s="7"/>
      <c r="L21" s="7">
        <v>-17152</v>
      </c>
    </row>
    <row r="22" spans="1:12" x14ac:dyDescent="0.35">
      <c r="A22" t="s">
        <v>131</v>
      </c>
      <c r="B22" s="7">
        <v>10711</v>
      </c>
      <c r="C22" s="7">
        <v>1127</v>
      </c>
      <c r="D22" s="7">
        <v>196455</v>
      </c>
      <c r="E22" s="7">
        <v>59214</v>
      </c>
      <c r="F22" s="7"/>
      <c r="G22" s="7"/>
      <c r="H22" s="7">
        <v>382</v>
      </c>
      <c r="I22" s="7">
        <v>86757</v>
      </c>
      <c r="J22" s="7">
        <v>73717</v>
      </c>
      <c r="K22" s="7"/>
      <c r="L22" s="7">
        <v>428362</v>
      </c>
    </row>
    <row r="23" spans="1:12" x14ac:dyDescent="0.35">
      <c r="A23" t="s">
        <v>80</v>
      </c>
      <c r="B23" s="7">
        <v>10466</v>
      </c>
      <c r="C23" s="7">
        <v>1101</v>
      </c>
      <c r="D23" s="7">
        <v>26977</v>
      </c>
      <c r="E23" s="7">
        <v>27113</v>
      </c>
      <c r="F23" s="7"/>
      <c r="G23" s="7"/>
      <c r="H23" s="7"/>
      <c r="I23" s="7">
        <v>41384</v>
      </c>
      <c r="J23" s="7">
        <v>32305</v>
      </c>
      <c r="K23" s="7"/>
      <c r="L23" s="7">
        <v>139347</v>
      </c>
    </row>
    <row r="24" spans="1:12" x14ac:dyDescent="0.35">
      <c r="A24" t="s">
        <v>82</v>
      </c>
      <c r="B24" s="7">
        <v>1</v>
      </c>
      <c r="C24" s="7">
        <v>5</v>
      </c>
      <c r="D24" s="7">
        <v>116376</v>
      </c>
      <c r="E24" s="7">
        <v>6791</v>
      </c>
      <c r="F24" s="7"/>
      <c r="G24" s="7"/>
      <c r="H24" s="7"/>
      <c r="I24" s="7">
        <v>15126</v>
      </c>
      <c r="J24" s="7">
        <v>488</v>
      </c>
      <c r="K24" s="7"/>
      <c r="L24" s="7">
        <v>138787</v>
      </c>
    </row>
    <row r="25" spans="1:12" x14ac:dyDescent="0.35">
      <c r="A25" t="s">
        <v>86</v>
      </c>
      <c r="B25" s="7">
        <v>55</v>
      </c>
      <c r="C25" s="7"/>
      <c r="D25" s="7">
        <v>13348</v>
      </c>
      <c r="E25" s="7">
        <v>10467</v>
      </c>
      <c r="F25" s="7"/>
      <c r="G25" s="7"/>
      <c r="H25" s="7">
        <v>8</v>
      </c>
      <c r="I25" s="7">
        <v>25950</v>
      </c>
      <c r="J25" s="7">
        <v>21201</v>
      </c>
      <c r="K25" s="7"/>
      <c r="L25" s="7">
        <v>71029</v>
      </c>
    </row>
    <row r="26" spans="1:12" x14ac:dyDescent="0.35">
      <c r="A26" t="s">
        <v>88</v>
      </c>
      <c r="B26" s="7"/>
      <c r="C26" s="7">
        <v>20</v>
      </c>
      <c r="D26" s="7">
        <v>2656</v>
      </c>
      <c r="E26" s="7">
        <v>2291</v>
      </c>
      <c r="F26" s="7"/>
      <c r="G26" s="7"/>
      <c r="H26" s="7">
        <v>5</v>
      </c>
      <c r="I26" s="7">
        <v>767</v>
      </c>
      <c r="J26" s="7">
        <v>17408</v>
      </c>
      <c r="K26" s="7"/>
      <c r="L26" s="7">
        <v>23147</v>
      </c>
    </row>
    <row r="27" spans="1:12" x14ac:dyDescent="0.35">
      <c r="A27" t="s">
        <v>90</v>
      </c>
      <c r="B27" s="7"/>
      <c r="C27" s="7"/>
      <c r="D27" s="7">
        <v>11391</v>
      </c>
      <c r="E27" s="7">
        <v>2</v>
      </c>
      <c r="F27" s="7"/>
      <c r="G27" s="7"/>
      <c r="H27" s="7"/>
      <c r="I27" s="7">
        <v>3445</v>
      </c>
      <c r="J27" s="7">
        <v>2010</v>
      </c>
      <c r="K27" s="7"/>
      <c r="L27" s="7">
        <v>16848</v>
      </c>
    </row>
    <row r="28" spans="1:12" x14ac:dyDescent="0.35">
      <c r="A28" t="s">
        <v>92</v>
      </c>
      <c r="B28" s="7"/>
      <c r="C28" s="7"/>
      <c r="D28" s="7">
        <v>113</v>
      </c>
      <c r="E28" s="7">
        <v>8</v>
      </c>
      <c r="F28" s="7"/>
      <c r="G28" s="7"/>
      <c r="H28" s="7"/>
      <c r="I28" s="7">
        <v>2</v>
      </c>
      <c r="J28" s="7">
        <v>19</v>
      </c>
      <c r="K28" s="7"/>
      <c r="L28" s="7">
        <v>141</v>
      </c>
    </row>
    <row r="29" spans="1:12" x14ac:dyDescent="0.35">
      <c r="A29" t="s">
        <v>94</v>
      </c>
      <c r="B29" s="7"/>
      <c r="C29" s="7"/>
      <c r="D29" s="7">
        <v>1999</v>
      </c>
      <c r="E29" s="7">
        <v>4</v>
      </c>
      <c r="F29" s="7"/>
      <c r="G29" s="7"/>
      <c r="H29" s="7">
        <v>368</v>
      </c>
      <c r="I29" s="7">
        <v>83</v>
      </c>
      <c r="J29" s="7">
        <v>285</v>
      </c>
      <c r="K29" s="7"/>
      <c r="L29" s="7">
        <v>2740</v>
      </c>
    </row>
    <row r="30" spans="1:12" x14ac:dyDescent="0.35">
      <c r="A30" t="s">
        <v>236</v>
      </c>
      <c r="B30" s="7">
        <v>189</v>
      </c>
      <c r="C30" s="7"/>
      <c r="D30" s="7">
        <v>23596</v>
      </c>
      <c r="E30" s="7">
        <v>12539</v>
      </c>
      <c r="F30" s="7"/>
      <c r="G30" s="7"/>
      <c r="H30" s="7"/>
      <c r="I30" s="7"/>
      <c r="J30" s="7"/>
      <c r="K30" s="7"/>
      <c r="L30" s="7">
        <v>36324</v>
      </c>
    </row>
    <row r="32" spans="1:12" x14ac:dyDescent="0.35">
      <c r="B32" s="7">
        <f>SUM(B9,B10:B21,B22*-1)</f>
        <v>0</v>
      </c>
      <c r="C32" s="7">
        <f t="shared" ref="C32:L32" si="0">SUM(C9,C10:C21,C22*-1)</f>
        <v>-1</v>
      </c>
      <c r="D32" s="7">
        <f t="shared" si="0"/>
        <v>1</v>
      </c>
      <c r="E32" s="7">
        <f t="shared" si="0"/>
        <v>-2</v>
      </c>
      <c r="F32" s="7">
        <f t="shared" si="0"/>
        <v>0</v>
      </c>
      <c r="G32" s="7">
        <f t="shared" si="0"/>
        <v>0</v>
      </c>
      <c r="H32" s="7">
        <f t="shared" si="0"/>
        <v>0</v>
      </c>
      <c r="I32" s="7">
        <f t="shared" si="0"/>
        <v>-1</v>
      </c>
      <c r="J32" s="7">
        <f t="shared" si="0"/>
        <v>0</v>
      </c>
      <c r="K32" s="7">
        <f t="shared" si="0"/>
        <v>0</v>
      </c>
      <c r="L32" s="7">
        <f t="shared" si="0"/>
        <v>0</v>
      </c>
    </row>
  </sheetData>
  <pageMargins left="0.7" right="0.7" top="0.75" bottom="0.75" header="0.3" footer="0.3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Ark40"/>
  <dimension ref="A1:L32"/>
  <sheetViews>
    <sheetView workbookViewId="0">
      <selection activeCell="B3" sqref="B3:L31"/>
    </sheetView>
  </sheetViews>
  <sheetFormatPr defaultRowHeight="14.5" x14ac:dyDescent="0.35"/>
  <cols>
    <col min="1" max="1" width="30" customWidth="1"/>
    <col min="2" max="2" width="11.54296875" customWidth="1"/>
    <col min="3" max="3" width="12" customWidth="1"/>
    <col min="4" max="4" width="14.54296875" customWidth="1"/>
    <col min="5" max="5" width="14.1796875" customWidth="1"/>
    <col min="8" max="8" width="22.81640625" customWidth="1"/>
    <col min="9" max="9" width="21.81640625" customWidth="1"/>
    <col min="10" max="10" width="13.81640625" customWidth="1"/>
    <col min="11" max="11" width="12.26953125" customWidth="1"/>
    <col min="12" max="12" width="11.81640625" customWidth="1"/>
  </cols>
  <sheetData>
    <row r="1" spans="1:12" x14ac:dyDescent="0.35">
      <c r="B1" t="s">
        <v>214</v>
      </c>
      <c r="C1" t="s">
        <v>2</v>
      </c>
      <c r="D1" t="s">
        <v>215</v>
      </c>
      <c r="E1" t="s">
        <v>216</v>
      </c>
      <c r="F1" t="s">
        <v>5</v>
      </c>
      <c r="G1" t="s">
        <v>6</v>
      </c>
      <c r="H1" t="s">
        <v>217</v>
      </c>
      <c r="I1" t="s">
        <v>8</v>
      </c>
      <c r="J1" t="s">
        <v>9</v>
      </c>
      <c r="K1" t="s">
        <v>10</v>
      </c>
      <c r="L1" t="s">
        <v>218</v>
      </c>
    </row>
    <row r="2" spans="1:12" x14ac:dyDescent="0.35">
      <c r="B2" t="s">
        <v>219</v>
      </c>
      <c r="C2" t="s">
        <v>219</v>
      </c>
      <c r="D2" t="s">
        <v>219</v>
      </c>
      <c r="E2" t="s">
        <v>219</v>
      </c>
      <c r="F2" t="s">
        <v>219</v>
      </c>
      <c r="G2" t="s">
        <v>219</v>
      </c>
      <c r="H2" t="s">
        <v>219</v>
      </c>
      <c r="I2" t="s">
        <v>219</v>
      </c>
      <c r="J2" t="s">
        <v>219</v>
      </c>
      <c r="K2" t="s">
        <v>219</v>
      </c>
      <c r="L2" t="s">
        <v>219</v>
      </c>
    </row>
    <row r="3" spans="1:12" x14ac:dyDescent="0.35">
      <c r="A3" t="s">
        <v>17</v>
      </c>
      <c r="B3" s="7">
        <v>59450</v>
      </c>
      <c r="C3" s="7">
        <v>417877</v>
      </c>
      <c r="D3" s="7"/>
      <c r="E3" s="7">
        <v>148568</v>
      </c>
      <c r="F3" s="7">
        <v>5673</v>
      </c>
      <c r="G3" s="7">
        <v>55293</v>
      </c>
      <c r="H3" s="7">
        <v>6646</v>
      </c>
      <c r="I3" s="7">
        <v>125426</v>
      </c>
      <c r="J3" s="7"/>
      <c r="K3" s="7">
        <v>79</v>
      </c>
      <c r="L3" s="7">
        <v>819012</v>
      </c>
    </row>
    <row r="4" spans="1:12" x14ac:dyDescent="0.35">
      <c r="A4" t="s">
        <v>220</v>
      </c>
      <c r="B4" s="7">
        <v>19496</v>
      </c>
      <c r="C4" s="7">
        <v>45820</v>
      </c>
      <c r="D4" s="7">
        <v>90079</v>
      </c>
      <c r="E4" s="7">
        <v>27872</v>
      </c>
      <c r="F4" s="7"/>
      <c r="G4" s="7"/>
      <c r="H4" s="7"/>
      <c r="I4" s="7">
        <v>767</v>
      </c>
      <c r="J4" s="7">
        <v>4066</v>
      </c>
      <c r="K4" s="7"/>
      <c r="L4" s="7">
        <v>188101</v>
      </c>
    </row>
    <row r="5" spans="1:12" x14ac:dyDescent="0.35">
      <c r="A5" t="s">
        <v>221</v>
      </c>
      <c r="B5" s="7">
        <v>-48871</v>
      </c>
      <c r="C5" s="7">
        <v>-213110</v>
      </c>
      <c r="D5" s="7">
        <v>-51420</v>
      </c>
      <c r="E5" s="7">
        <v>-34328</v>
      </c>
      <c r="F5" s="7"/>
      <c r="G5" s="7"/>
      <c r="H5" s="7"/>
      <c r="I5" s="7">
        <v>-1916</v>
      </c>
      <c r="J5" s="7">
        <v>-4020</v>
      </c>
      <c r="K5" s="7"/>
      <c r="L5" s="7">
        <v>-353665</v>
      </c>
    </row>
    <row r="6" spans="1:12" x14ac:dyDescent="0.35">
      <c r="A6" t="s">
        <v>222</v>
      </c>
      <c r="B6" s="7"/>
      <c r="C6" s="7"/>
      <c r="D6" s="7">
        <v>-13752</v>
      </c>
      <c r="E6" s="7"/>
      <c r="F6" s="7"/>
      <c r="G6" s="7"/>
      <c r="H6" s="7"/>
      <c r="I6" s="7"/>
      <c r="J6" s="7"/>
      <c r="K6" s="7"/>
      <c r="L6" s="7">
        <v>-13752</v>
      </c>
    </row>
    <row r="7" spans="1:12" x14ac:dyDescent="0.35">
      <c r="A7" t="s">
        <v>223</v>
      </c>
      <c r="B7" s="7"/>
      <c r="C7" s="7"/>
      <c r="D7" s="7">
        <v>-8965</v>
      </c>
      <c r="E7" s="7"/>
      <c r="F7" s="7"/>
      <c r="G7" s="7"/>
      <c r="H7" s="7"/>
      <c r="I7" s="7"/>
      <c r="J7" s="7"/>
      <c r="K7" s="7"/>
      <c r="L7" s="7">
        <v>-8965</v>
      </c>
    </row>
    <row r="8" spans="1:12" x14ac:dyDescent="0.35">
      <c r="A8" t="s">
        <v>224</v>
      </c>
      <c r="B8" s="7">
        <v>-2423</v>
      </c>
      <c r="C8" s="7">
        <v>-1310</v>
      </c>
      <c r="D8" s="7">
        <v>2191</v>
      </c>
      <c r="E8" s="7">
        <v>-26</v>
      </c>
      <c r="F8" s="7"/>
      <c r="G8" s="7"/>
      <c r="H8" s="7"/>
      <c r="I8" s="7">
        <v>886</v>
      </c>
      <c r="J8" s="7"/>
      <c r="K8" s="7"/>
      <c r="L8" s="7">
        <v>-682</v>
      </c>
    </row>
    <row r="9" spans="1:12" x14ac:dyDescent="0.35">
      <c r="A9" t="s">
        <v>225</v>
      </c>
      <c r="B9" s="7">
        <v>27652</v>
      </c>
      <c r="C9" s="7">
        <v>249278</v>
      </c>
      <c r="D9" s="7">
        <v>18134</v>
      </c>
      <c r="E9" s="7">
        <v>142086</v>
      </c>
      <c r="F9" s="7">
        <v>5673</v>
      </c>
      <c r="G9" s="7">
        <v>55293</v>
      </c>
      <c r="H9" s="7">
        <v>6646</v>
      </c>
      <c r="I9" s="7">
        <v>125162</v>
      </c>
      <c r="J9" s="7">
        <v>47</v>
      </c>
      <c r="K9" s="7">
        <v>79</v>
      </c>
      <c r="L9" s="7">
        <v>630049</v>
      </c>
    </row>
    <row r="10" spans="1:12" x14ac:dyDescent="0.35">
      <c r="A10" t="s">
        <v>226</v>
      </c>
      <c r="B10" s="7"/>
      <c r="C10" s="7">
        <v>-4220</v>
      </c>
      <c r="D10" s="7">
        <v>3441</v>
      </c>
      <c r="E10" s="7"/>
      <c r="F10" s="7"/>
      <c r="G10" s="7"/>
      <c r="H10" s="7"/>
      <c r="I10" s="7"/>
      <c r="J10" s="7"/>
      <c r="K10" s="7"/>
      <c r="L10" s="7">
        <v>-779</v>
      </c>
    </row>
    <row r="11" spans="1:12" x14ac:dyDescent="0.35">
      <c r="A11" t="s">
        <v>227</v>
      </c>
      <c r="B11" s="7">
        <v>-985</v>
      </c>
      <c r="C11" s="7">
        <v>2564</v>
      </c>
      <c r="D11" s="7">
        <v>1924</v>
      </c>
      <c r="E11" s="7">
        <v>-3395</v>
      </c>
      <c r="F11" s="7"/>
      <c r="G11" s="7"/>
      <c r="H11" s="7"/>
      <c r="I11" s="7">
        <v>-49</v>
      </c>
      <c r="J11" s="7">
        <v>26</v>
      </c>
      <c r="K11" s="7"/>
      <c r="L11" s="7">
        <v>85</v>
      </c>
    </row>
    <row r="12" spans="1:12" x14ac:dyDescent="0.35">
      <c r="A12" t="s">
        <v>228</v>
      </c>
      <c r="B12" s="7">
        <v>-8463</v>
      </c>
      <c r="C12" s="7">
        <v>-2594</v>
      </c>
      <c r="D12" s="7">
        <v>-30335</v>
      </c>
      <c r="E12" s="7">
        <v>-49454</v>
      </c>
      <c r="F12" s="7">
        <v>-5673</v>
      </c>
      <c r="G12" s="7">
        <v>-55293</v>
      </c>
      <c r="H12" s="7">
        <v>-5916</v>
      </c>
      <c r="I12" s="7">
        <v>-4560</v>
      </c>
      <c r="J12" s="7">
        <v>98446</v>
      </c>
      <c r="K12" s="7">
        <v>-79</v>
      </c>
      <c r="L12" s="7">
        <v>-63922</v>
      </c>
    </row>
    <row r="13" spans="1:12" x14ac:dyDescent="0.35">
      <c r="A13" t="s">
        <v>66</v>
      </c>
      <c r="B13" s="7">
        <v>-1975</v>
      </c>
      <c r="C13" s="7"/>
      <c r="D13" s="7">
        <v>-880</v>
      </c>
      <c r="E13" s="7">
        <v>-2634</v>
      </c>
      <c r="F13" s="7"/>
      <c r="G13" s="7"/>
      <c r="H13" s="7"/>
      <c r="I13" s="7">
        <v>-8836</v>
      </c>
      <c r="J13" s="7">
        <v>6473</v>
      </c>
      <c r="K13" s="7"/>
      <c r="L13" s="7">
        <v>-7852</v>
      </c>
    </row>
    <row r="14" spans="1:12" x14ac:dyDescent="0.35">
      <c r="A14" t="s">
        <v>229</v>
      </c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</row>
    <row r="15" spans="1:12" x14ac:dyDescent="0.35">
      <c r="A15" t="s">
        <v>230</v>
      </c>
      <c r="B15" s="7"/>
      <c r="C15" s="7"/>
      <c r="D15" s="7">
        <v>-16</v>
      </c>
      <c r="E15" s="7">
        <v>14</v>
      </c>
      <c r="F15" s="7"/>
      <c r="G15" s="7"/>
      <c r="H15" s="7"/>
      <c r="I15" s="7"/>
      <c r="J15" s="7"/>
      <c r="K15" s="7"/>
      <c r="L15" s="7">
        <v>-2</v>
      </c>
    </row>
    <row r="16" spans="1:12" x14ac:dyDescent="0.35">
      <c r="A16" t="s">
        <v>70</v>
      </c>
      <c r="B16" s="7"/>
      <c r="C16" s="7">
        <v>-247623</v>
      </c>
      <c r="D16" s="7">
        <v>238581</v>
      </c>
      <c r="E16" s="7"/>
      <c r="F16" s="7"/>
      <c r="G16" s="7"/>
      <c r="H16" s="7"/>
      <c r="I16" s="7"/>
      <c r="J16" s="7"/>
      <c r="K16" s="7"/>
      <c r="L16" s="7">
        <v>-9042</v>
      </c>
    </row>
    <row r="17" spans="1:12" x14ac:dyDescent="0.35">
      <c r="A17" t="s">
        <v>231</v>
      </c>
      <c r="B17" s="7">
        <v>-3507</v>
      </c>
      <c r="C17" s="7"/>
      <c r="D17" s="7">
        <v>-1347</v>
      </c>
      <c r="E17" s="7"/>
      <c r="F17" s="7"/>
      <c r="G17" s="7"/>
      <c r="H17" s="7"/>
      <c r="I17" s="7">
        <v>-51</v>
      </c>
      <c r="J17" s="7"/>
      <c r="K17" s="7"/>
      <c r="L17" s="7">
        <v>-4905</v>
      </c>
    </row>
    <row r="18" spans="1:12" x14ac:dyDescent="0.35">
      <c r="A18" t="s">
        <v>232</v>
      </c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</row>
    <row r="19" spans="1:12" x14ac:dyDescent="0.35">
      <c r="A19" t="s">
        <v>233</v>
      </c>
      <c r="B19" s="7"/>
      <c r="C19" s="7">
        <v>3755</v>
      </c>
      <c r="D19" s="7">
        <v>-2982</v>
      </c>
      <c r="E19" s="7">
        <v>-967</v>
      </c>
      <c r="F19" s="7"/>
      <c r="G19" s="7"/>
      <c r="H19" s="7"/>
      <c r="I19" s="7">
        <v>-5356</v>
      </c>
      <c r="J19" s="7"/>
      <c r="K19" s="7"/>
      <c r="L19" s="7">
        <v>-5549</v>
      </c>
    </row>
    <row r="20" spans="1:12" x14ac:dyDescent="0.35">
      <c r="A20" t="s">
        <v>234</v>
      </c>
      <c r="B20" s="7">
        <v>-401</v>
      </c>
      <c r="C20" s="7">
        <v>-485</v>
      </c>
      <c r="D20" s="7">
        <v>-16541</v>
      </c>
      <c r="E20" s="7">
        <v>-23529</v>
      </c>
      <c r="F20" s="7"/>
      <c r="G20" s="7"/>
      <c r="H20" s="7"/>
      <c r="I20" s="7">
        <v>-13274</v>
      </c>
      <c r="J20" s="7">
        <v>-4502</v>
      </c>
      <c r="K20" s="7"/>
      <c r="L20" s="7">
        <v>-58734</v>
      </c>
    </row>
    <row r="21" spans="1:12" x14ac:dyDescent="0.35">
      <c r="A21" t="s">
        <v>235</v>
      </c>
      <c r="B21" s="7">
        <v>-289</v>
      </c>
      <c r="C21" s="7">
        <v>-1</v>
      </c>
      <c r="D21" s="7">
        <v>-235</v>
      </c>
      <c r="E21" s="7">
        <v>-2011</v>
      </c>
      <c r="F21" s="7"/>
      <c r="G21" s="7"/>
      <c r="H21" s="7"/>
      <c r="I21" s="7">
        <v>-59</v>
      </c>
      <c r="J21" s="7">
        <v>-16488</v>
      </c>
      <c r="K21" s="7"/>
      <c r="L21" s="7">
        <v>-19084</v>
      </c>
    </row>
    <row r="22" spans="1:12" x14ac:dyDescent="0.35">
      <c r="A22" t="s">
        <v>131</v>
      </c>
      <c r="B22" s="7">
        <v>12031</v>
      </c>
      <c r="C22" s="7">
        <v>674</v>
      </c>
      <c r="D22" s="7">
        <v>209744</v>
      </c>
      <c r="E22" s="7">
        <v>60111</v>
      </c>
      <c r="F22" s="7"/>
      <c r="G22" s="7"/>
      <c r="H22" s="7">
        <v>730</v>
      </c>
      <c r="I22" s="7">
        <v>92976</v>
      </c>
      <c r="J22" s="7">
        <v>84001</v>
      </c>
      <c r="K22" s="7"/>
      <c r="L22" s="7">
        <v>460266</v>
      </c>
    </row>
    <row r="23" spans="1:12" x14ac:dyDescent="0.35">
      <c r="A23" t="s">
        <v>80</v>
      </c>
      <c r="B23" s="7">
        <v>11782</v>
      </c>
      <c r="C23" s="7">
        <v>669</v>
      </c>
      <c r="D23" s="7">
        <v>22640</v>
      </c>
      <c r="E23" s="7">
        <v>26344</v>
      </c>
      <c r="F23" s="7"/>
      <c r="G23" s="7"/>
      <c r="H23" s="7"/>
      <c r="I23" s="7">
        <v>41451</v>
      </c>
      <c r="J23" s="7">
        <v>32520</v>
      </c>
      <c r="K23" s="7"/>
      <c r="L23" s="7">
        <v>135406</v>
      </c>
    </row>
    <row r="24" spans="1:12" x14ac:dyDescent="0.35">
      <c r="A24" t="s">
        <v>82</v>
      </c>
      <c r="B24" s="7"/>
      <c r="C24" s="7">
        <v>5</v>
      </c>
      <c r="D24" s="7">
        <v>134667</v>
      </c>
      <c r="E24" s="7">
        <v>7576</v>
      </c>
      <c r="F24" s="7"/>
      <c r="G24" s="7"/>
      <c r="H24" s="7"/>
      <c r="I24" s="7">
        <v>20402</v>
      </c>
      <c r="J24" s="7">
        <v>331</v>
      </c>
      <c r="K24" s="7"/>
      <c r="L24" s="7">
        <v>162981</v>
      </c>
    </row>
    <row r="25" spans="1:12" x14ac:dyDescent="0.35">
      <c r="A25" t="s">
        <v>86</v>
      </c>
      <c r="B25" s="7">
        <v>66</v>
      </c>
      <c r="C25" s="7"/>
      <c r="D25" s="7">
        <v>13583</v>
      </c>
      <c r="E25" s="7">
        <v>11865</v>
      </c>
      <c r="F25" s="7"/>
      <c r="G25" s="7"/>
      <c r="H25" s="7">
        <v>22</v>
      </c>
      <c r="I25" s="7">
        <v>26101</v>
      </c>
      <c r="J25" s="7">
        <v>25540</v>
      </c>
      <c r="K25" s="7"/>
      <c r="L25" s="7">
        <v>77177</v>
      </c>
    </row>
    <row r="26" spans="1:12" x14ac:dyDescent="0.35">
      <c r="A26" t="s">
        <v>88</v>
      </c>
      <c r="B26" s="7">
        <v>1</v>
      </c>
      <c r="C26" s="7"/>
      <c r="D26" s="7">
        <v>2699</v>
      </c>
      <c r="E26" s="7">
        <v>2361</v>
      </c>
      <c r="F26" s="7"/>
      <c r="G26" s="7"/>
      <c r="H26" s="7">
        <v>13</v>
      </c>
      <c r="I26" s="7">
        <v>1024</v>
      </c>
      <c r="J26" s="7">
        <v>21893</v>
      </c>
      <c r="K26" s="7"/>
      <c r="L26" s="7">
        <v>27991</v>
      </c>
    </row>
    <row r="27" spans="1:12" x14ac:dyDescent="0.35">
      <c r="A27" t="s">
        <v>90</v>
      </c>
      <c r="B27" s="7">
        <v>1</v>
      </c>
      <c r="C27" s="7"/>
      <c r="D27" s="7">
        <v>10870</v>
      </c>
      <c r="E27" s="7"/>
      <c r="F27" s="7"/>
      <c r="G27" s="7"/>
      <c r="H27" s="7"/>
      <c r="I27" s="7">
        <v>3900</v>
      </c>
      <c r="J27" s="7">
        <v>2822</v>
      </c>
      <c r="K27" s="7"/>
      <c r="L27" s="7">
        <v>17594</v>
      </c>
    </row>
    <row r="28" spans="1:12" x14ac:dyDescent="0.35">
      <c r="A28" t="s">
        <v>92</v>
      </c>
      <c r="B28" s="7"/>
      <c r="C28" s="7"/>
      <c r="D28" s="7">
        <v>134</v>
      </c>
      <c r="E28" s="7">
        <v>42</v>
      </c>
      <c r="F28" s="7"/>
      <c r="G28" s="7"/>
      <c r="H28" s="7"/>
      <c r="I28" s="7">
        <v>5</v>
      </c>
      <c r="J28" s="7">
        <v>26</v>
      </c>
      <c r="K28" s="7"/>
      <c r="L28" s="7">
        <v>207</v>
      </c>
    </row>
    <row r="29" spans="1:12" x14ac:dyDescent="0.35">
      <c r="A29" t="s">
        <v>94</v>
      </c>
      <c r="B29" s="7">
        <v>1</v>
      </c>
      <c r="C29" s="7"/>
      <c r="D29" s="7">
        <v>3132</v>
      </c>
      <c r="E29" s="7">
        <v>772</v>
      </c>
      <c r="F29" s="7"/>
      <c r="G29" s="7"/>
      <c r="H29" s="7">
        <v>695</v>
      </c>
      <c r="I29" s="7">
        <v>92</v>
      </c>
      <c r="J29" s="7">
        <v>868</v>
      </c>
      <c r="K29" s="7"/>
      <c r="L29" s="7">
        <v>5560</v>
      </c>
    </row>
    <row r="30" spans="1:12" x14ac:dyDescent="0.35">
      <c r="A30" t="s">
        <v>236</v>
      </c>
      <c r="B30" s="7">
        <v>179</v>
      </c>
      <c r="C30" s="7"/>
      <c r="D30" s="7">
        <v>22018</v>
      </c>
      <c r="E30" s="7">
        <v>11151</v>
      </c>
      <c r="F30" s="7"/>
      <c r="G30" s="7"/>
      <c r="H30" s="7"/>
      <c r="I30" s="7"/>
      <c r="J30" s="7"/>
      <c r="K30" s="7"/>
      <c r="L30" s="7">
        <v>33349</v>
      </c>
    </row>
    <row r="32" spans="1:12" x14ac:dyDescent="0.35">
      <c r="B32" s="7">
        <f>SUM(B9,B10:B21,B22*-1)</f>
        <v>1</v>
      </c>
      <c r="C32" s="7">
        <f t="shared" ref="C32:L32" si="0">SUM(C9,C10:C21,C22*-1)</f>
        <v>0</v>
      </c>
      <c r="D32" s="7">
        <f t="shared" si="0"/>
        <v>0</v>
      </c>
      <c r="E32" s="7">
        <f t="shared" si="0"/>
        <v>-1</v>
      </c>
      <c r="F32" s="7">
        <f t="shared" si="0"/>
        <v>0</v>
      </c>
      <c r="G32" s="7">
        <f t="shared" si="0"/>
        <v>0</v>
      </c>
      <c r="H32" s="7">
        <f t="shared" si="0"/>
        <v>0</v>
      </c>
      <c r="I32" s="7">
        <f t="shared" si="0"/>
        <v>1</v>
      </c>
      <c r="J32" s="7">
        <f t="shared" si="0"/>
        <v>1</v>
      </c>
      <c r="K32" s="7">
        <f t="shared" si="0"/>
        <v>0</v>
      </c>
      <c r="L32" s="7">
        <f t="shared" si="0"/>
        <v>-1</v>
      </c>
    </row>
  </sheetData>
  <pageMargins left="0.7" right="0.7" top="0.75" bottom="0.75" header="0.3" footer="0.3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Ark41"/>
  <dimension ref="A1:L32"/>
  <sheetViews>
    <sheetView workbookViewId="0">
      <selection activeCell="J36" sqref="J36"/>
    </sheetView>
  </sheetViews>
  <sheetFormatPr defaultRowHeight="14.5" x14ac:dyDescent="0.35"/>
  <cols>
    <col min="1" max="1" width="30" customWidth="1"/>
    <col min="2" max="2" width="11.54296875" customWidth="1"/>
    <col min="3" max="3" width="12" customWidth="1"/>
    <col min="4" max="4" width="14.54296875" customWidth="1"/>
    <col min="5" max="5" width="14.1796875" customWidth="1"/>
    <col min="8" max="8" width="22.81640625" customWidth="1"/>
    <col min="9" max="9" width="21.81640625" customWidth="1"/>
    <col min="10" max="10" width="13.81640625" customWidth="1"/>
    <col min="11" max="11" width="12.26953125" customWidth="1"/>
    <col min="12" max="12" width="11.81640625" customWidth="1"/>
  </cols>
  <sheetData>
    <row r="1" spans="1:12" x14ac:dyDescent="0.35">
      <c r="B1" t="s">
        <v>214</v>
      </c>
      <c r="C1" t="s">
        <v>2</v>
      </c>
      <c r="D1" t="s">
        <v>215</v>
      </c>
      <c r="E1" t="s">
        <v>216</v>
      </c>
      <c r="F1" t="s">
        <v>5</v>
      </c>
      <c r="G1" t="s">
        <v>6</v>
      </c>
      <c r="H1" t="s">
        <v>217</v>
      </c>
      <c r="I1" t="s">
        <v>8</v>
      </c>
      <c r="J1" t="s">
        <v>9</v>
      </c>
      <c r="K1" t="s">
        <v>10</v>
      </c>
      <c r="L1" t="s">
        <v>218</v>
      </c>
    </row>
    <row r="2" spans="1:12" x14ac:dyDescent="0.35">
      <c r="B2" t="s">
        <v>219</v>
      </c>
      <c r="C2" t="s">
        <v>219</v>
      </c>
      <c r="D2" t="s">
        <v>219</v>
      </c>
      <c r="E2" t="s">
        <v>219</v>
      </c>
      <c r="F2" t="s">
        <v>219</v>
      </c>
      <c r="G2" t="s">
        <v>219</v>
      </c>
      <c r="H2" t="s">
        <v>219</v>
      </c>
      <c r="I2" t="s">
        <v>219</v>
      </c>
      <c r="J2" t="s">
        <v>219</v>
      </c>
      <c r="K2" t="s">
        <v>219</v>
      </c>
      <c r="L2" t="s">
        <v>219</v>
      </c>
    </row>
    <row r="3" spans="1:12" x14ac:dyDescent="0.35">
      <c r="A3" t="s">
        <v>17</v>
      </c>
      <c r="B3" s="7">
        <v>57036</v>
      </c>
      <c r="C3" s="7">
        <v>348534</v>
      </c>
      <c r="D3" s="7"/>
      <c r="E3" s="7">
        <v>145098</v>
      </c>
      <c r="F3" s="7">
        <v>5882</v>
      </c>
      <c r="G3" s="7">
        <v>59290</v>
      </c>
      <c r="H3" s="7">
        <v>10266</v>
      </c>
      <c r="I3" s="7">
        <v>130979</v>
      </c>
      <c r="J3" s="7"/>
      <c r="K3" s="7">
        <v>91</v>
      </c>
      <c r="L3" s="7">
        <v>757177</v>
      </c>
    </row>
    <row r="4" spans="1:12" x14ac:dyDescent="0.35">
      <c r="A4" t="s">
        <v>220</v>
      </c>
      <c r="B4" s="7">
        <v>19138</v>
      </c>
      <c r="C4" s="7">
        <v>33744</v>
      </c>
      <c r="D4" s="7">
        <v>98970</v>
      </c>
      <c r="E4" s="7">
        <v>19768</v>
      </c>
      <c r="F4" s="7"/>
      <c r="G4" s="7"/>
      <c r="H4" s="7"/>
      <c r="I4" s="7">
        <v>1255</v>
      </c>
      <c r="J4" s="7">
        <v>4223</v>
      </c>
      <c r="K4" s="7"/>
      <c r="L4" s="7">
        <v>177097</v>
      </c>
    </row>
    <row r="5" spans="1:12" x14ac:dyDescent="0.35">
      <c r="A5" t="s">
        <v>221</v>
      </c>
      <c r="B5" s="7">
        <v>-56380</v>
      </c>
      <c r="C5" s="7">
        <v>-180813</v>
      </c>
      <c r="D5" s="7">
        <v>-46055</v>
      </c>
      <c r="E5" s="7">
        <v>-31480</v>
      </c>
      <c r="F5" s="7"/>
      <c r="G5" s="7"/>
      <c r="H5" s="7"/>
      <c r="I5" s="7">
        <v>-2242</v>
      </c>
      <c r="J5" s="7">
        <v>-4187</v>
      </c>
      <c r="K5" s="7"/>
      <c r="L5" s="7">
        <v>-321156</v>
      </c>
    </row>
    <row r="6" spans="1:12" x14ac:dyDescent="0.35">
      <c r="A6" t="s">
        <v>222</v>
      </c>
      <c r="B6" s="7"/>
      <c r="C6" s="7"/>
      <c r="D6" s="7">
        <v>-13275</v>
      </c>
      <c r="E6" s="7"/>
      <c r="F6" s="7"/>
      <c r="G6" s="7"/>
      <c r="H6" s="7"/>
      <c r="I6" s="7"/>
      <c r="J6" s="7"/>
      <c r="K6" s="7"/>
      <c r="L6" s="7">
        <v>-13275</v>
      </c>
    </row>
    <row r="7" spans="1:12" x14ac:dyDescent="0.35">
      <c r="A7" t="s">
        <v>223</v>
      </c>
      <c r="B7" s="7"/>
      <c r="C7" s="7"/>
      <c r="D7" s="7">
        <v>-9712</v>
      </c>
      <c r="E7" s="7"/>
      <c r="F7" s="7"/>
      <c r="G7" s="7"/>
      <c r="H7" s="7"/>
      <c r="I7" s="7"/>
      <c r="J7" s="7"/>
      <c r="K7" s="7"/>
      <c r="L7" s="7">
        <v>-9712</v>
      </c>
    </row>
    <row r="8" spans="1:12" x14ac:dyDescent="0.35">
      <c r="A8" t="s">
        <v>224</v>
      </c>
      <c r="B8" s="7">
        <v>4678</v>
      </c>
      <c r="C8" s="7">
        <v>3854</v>
      </c>
      <c r="D8" s="7">
        <v>1125</v>
      </c>
      <c r="E8" s="7">
        <v>5</v>
      </c>
      <c r="F8" s="7"/>
      <c r="G8" s="7"/>
      <c r="H8" s="7"/>
      <c r="I8" s="7">
        <v>-816</v>
      </c>
      <c r="J8" s="7"/>
      <c r="K8" s="7"/>
      <c r="L8" s="7">
        <v>8845</v>
      </c>
    </row>
    <row r="9" spans="1:12" x14ac:dyDescent="0.35">
      <c r="A9" t="s">
        <v>225</v>
      </c>
      <c r="B9" s="7">
        <v>24472</v>
      </c>
      <c r="C9" s="7">
        <v>205319</v>
      </c>
      <c r="D9" s="7">
        <v>31053</v>
      </c>
      <c r="E9" s="7">
        <v>133392</v>
      </c>
      <c r="F9" s="7">
        <v>5882</v>
      </c>
      <c r="G9" s="7">
        <v>59290</v>
      </c>
      <c r="H9" s="7">
        <v>10266</v>
      </c>
      <c r="I9" s="7">
        <v>129176</v>
      </c>
      <c r="J9" s="7">
        <v>36</v>
      </c>
      <c r="K9" s="7">
        <v>91</v>
      </c>
      <c r="L9" s="7">
        <v>598977</v>
      </c>
    </row>
    <row r="10" spans="1:12" x14ac:dyDescent="0.35">
      <c r="A10" t="s">
        <v>226</v>
      </c>
      <c r="B10" s="7"/>
      <c r="C10" s="7">
        <v>-5703</v>
      </c>
      <c r="D10" s="7">
        <v>5416</v>
      </c>
      <c r="E10" s="7"/>
      <c r="F10" s="7"/>
      <c r="G10" s="7"/>
      <c r="H10" s="7"/>
      <c r="I10" s="7"/>
      <c r="J10" s="7"/>
      <c r="K10" s="7"/>
      <c r="L10" s="7">
        <v>-287</v>
      </c>
    </row>
    <row r="11" spans="1:12" x14ac:dyDescent="0.35">
      <c r="A11" t="s">
        <v>227</v>
      </c>
      <c r="B11" s="7">
        <v>41</v>
      </c>
      <c r="C11" s="7">
        <v>9253</v>
      </c>
      <c r="D11" s="7">
        <v>-203</v>
      </c>
      <c r="E11" s="7">
        <v>-1650</v>
      </c>
      <c r="F11" s="7"/>
      <c r="G11" s="7"/>
      <c r="H11" s="7"/>
      <c r="I11" s="7">
        <v>-32</v>
      </c>
      <c r="J11" s="7">
        <v>-133</v>
      </c>
      <c r="K11" s="7"/>
      <c r="L11" s="7">
        <v>7276</v>
      </c>
    </row>
    <row r="12" spans="1:12" x14ac:dyDescent="0.35">
      <c r="A12" t="s">
        <v>228</v>
      </c>
      <c r="B12" s="7">
        <v>-6630</v>
      </c>
      <c r="C12" s="7">
        <v>-2130</v>
      </c>
      <c r="D12" s="7">
        <v>-19343</v>
      </c>
      <c r="E12" s="7">
        <v>-44637</v>
      </c>
      <c r="F12" s="7">
        <v>-5882</v>
      </c>
      <c r="G12" s="7">
        <v>-59290</v>
      </c>
      <c r="H12" s="7">
        <v>-9319</v>
      </c>
      <c r="I12" s="7">
        <v>-4941</v>
      </c>
      <c r="J12" s="7">
        <v>97837</v>
      </c>
      <c r="K12" s="7">
        <v>-91</v>
      </c>
      <c r="L12" s="7">
        <v>-54427</v>
      </c>
    </row>
    <row r="13" spans="1:12" x14ac:dyDescent="0.35">
      <c r="A13" t="s">
        <v>66</v>
      </c>
      <c r="B13" s="7">
        <v>-1790</v>
      </c>
      <c r="C13" s="7"/>
      <c r="D13" s="7">
        <v>-795</v>
      </c>
      <c r="E13" s="7">
        <v>-2776</v>
      </c>
      <c r="F13" s="7"/>
      <c r="G13" s="7"/>
      <c r="H13" s="7"/>
      <c r="I13" s="7">
        <v>-9552</v>
      </c>
      <c r="J13" s="7">
        <v>7003</v>
      </c>
      <c r="K13" s="7"/>
      <c r="L13" s="7">
        <v>-7911</v>
      </c>
    </row>
    <row r="14" spans="1:12" x14ac:dyDescent="0.35">
      <c r="A14" t="s">
        <v>229</v>
      </c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</row>
    <row r="15" spans="1:12" x14ac:dyDescent="0.35">
      <c r="A15" t="s">
        <v>230</v>
      </c>
      <c r="B15" s="7"/>
      <c r="C15" s="7"/>
      <c r="D15" s="7">
        <v>-15</v>
      </c>
      <c r="E15" s="7">
        <v>13</v>
      </c>
      <c r="F15" s="7"/>
      <c r="G15" s="7"/>
      <c r="H15" s="7"/>
      <c r="I15" s="7"/>
      <c r="J15" s="7"/>
      <c r="K15" s="7"/>
      <c r="L15" s="7">
        <v>-1</v>
      </c>
    </row>
    <row r="16" spans="1:12" x14ac:dyDescent="0.35">
      <c r="A16" t="s">
        <v>70</v>
      </c>
      <c r="B16" s="7"/>
      <c r="C16" s="7">
        <v>-208780</v>
      </c>
      <c r="D16" s="7">
        <v>203752</v>
      </c>
      <c r="E16" s="7"/>
      <c r="F16" s="7"/>
      <c r="G16" s="7"/>
      <c r="H16" s="7"/>
      <c r="I16" s="7"/>
      <c r="J16" s="7"/>
      <c r="K16" s="7"/>
      <c r="L16" s="7">
        <v>-5028</v>
      </c>
    </row>
    <row r="17" spans="1:12" x14ac:dyDescent="0.35">
      <c r="A17" t="s">
        <v>231</v>
      </c>
      <c r="B17" s="7">
        <v>-3066</v>
      </c>
      <c r="C17" s="7"/>
      <c r="D17" s="7">
        <v>-1685</v>
      </c>
      <c r="E17" s="7"/>
      <c r="F17" s="7"/>
      <c r="G17" s="7"/>
      <c r="H17" s="7"/>
      <c r="I17" s="7">
        <v>-50</v>
      </c>
      <c r="J17" s="7"/>
      <c r="K17" s="7"/>
      <c r="L17" s="7">
        <v>-4801</v>
      </c>
    </row>
    <row r="18" spans="1:12" x14ac:dyDescent="0.35">
      <c r="A18" t="s">
        <v>232</v>
      </c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</row>
    <row r="19" spans="1:12" x14ac:dyDescent="0.35">
      <c r="A19" t="s">
        <v>233</v>
      </c>
      <c r="B19" s="7"/>
      <c r="C19" s="7">
        <v>3683</v>
      </c>
      <c r="D19" s="7">
        <v>-2873</v>
      </c>
      <c r="E19" s="7">
        <v>-889</v>
      </c>
      <c r="F19" s="7"/>
      <c r="G19" s="7"/>
      <c r="H19" s="7"/>
      <c r="I19" s="7">
        <v>-5272</v>
      </c>
      <c r="J19" s="7"/>
      <c r="K19" s="7"/>
      <c r="L19" s="7">
        <v>-5351</v>
      </c>
    </row>
    <row r="20" spans="1:12" x14ac:dyDescent="0.35">
      <c r="A20" t="s">
        <v>234</v>
      </c>
      <c r="B20" s="7">
        <v>-589</v>
      </c>
      <c r="C20" s="7">
        <v>-464</v>
      </c>
      <c r="D20" s="7">
        <v>-11976</v>
      </c>
      <c r="E20" s="7">
        <v>-23485</v>
      </c>
      <c r="F20" s="7"/>
      <c r="G20" s="7"/>
      <c r="H20" s="7"/>
      <c r="I20" s="7">
        <v>-14379</v>
      </c>
      <c r="J20" s="7">
        <v>-4488</v>
      </c>
      <c r="K20" s="7"/>
      <c r="L20" s="7">
        <v>-55381</v>
      </c>
    </row>
    <row r="21" spans="1:12" x14ac:dyDescent="0.35">
      <c r="A21" t="s">
        <v>235</v>
      </c>
      <c r="B21" s="7">
        <v>-294</v>
      </c>
      <c r="C21" s="7">
        <v>-1</v>
      </c>
      <c r="D21" s="7">
        <v>-67</v>
      </c>
      <c r="E21" s="7">
        <v>-2362</v>
      </c>
      <c r="F21" s="7"/>
      <c r="G21" s="7"/>
      <c r="H21" s="7"/>
      <c r="I21" s="7">
        <v>-61</v>
      </c>
      <c r="J21" s="7">
        <v>-16784</v>
      </c>
      <c r="K21" s="7"/>
      <c r="L21" s="7">
        <v>-19570</v>
      </c>
    </row>
    <row r="22" spans="1:12" x14ac:dyDescent="0.35">
      <c r="A22" t="s">
        <v>131</v>
      </c>
      <c r="B22" s="7">
        <v>12143</v>
      </c>
      <c r="C22" s="7">
        <v>1176</v>
      </c>
      <c r="D22" s="7">
        <v>203264</v>
      </c>
      <c r="E22" s="7">
        <v>57605</v>
      </c>
      <c r="F22" s="7"/>
      <c r="G22" s="7"/>
      <c r="H22" s="7">
        <v>947</v>
      </c>
      <c r="I22" s="7">
        <v>94888</v>
      </c>
      <c r="J22" s="7">
        <v>83471</v>
      </c>
      <c r="K22" s="7"/>
      <c r="L22" s="7">
        <v>453494</v>
      </c>
    </row>
    <row r="23" spans="1:12" x14ac:dyDescent="0.35">
      <c r="A23" t="s">
        <v>80</v>
      </c>
      <c r="B23" s="7">
        <v>11864</v>
      </c>
      <c r="C23" s="7">
        <v>1170</v>
      </c>
      <c r="D23" s="7">
        <v>20617</v>
      </c>
      <c r="E23" s="7">
        <v>24822</v>
      </c>
      <c r="F23" s="7"/>
      <c r="G23" s="7"/>
      <c r="H23" s="7"/>
      <c r="I23" s="7">
        <v>40579</v>
      </c>
      <c r="J23" s="7">
        <v>31924</v>
      </c>
      <c r="K23" s="7"/>
      <c r="L23" s="7">
        <v>130975</v>
      </c>
    </row>
    <row r="24" spans="1:12" x14ac:dyDescent="0.35">
      <c r="A24" t="s">
        <v>82</v>
      </c>
      <c r="B24" s="7"/>
      <c r="C24" s="7">
        <v>6</v>
      </c>
      <c r="D24" s="7">
        <v>132372</v>
      </c>
      <c r="E24" s="7">
        <v>7656</v>
      </c>
      <c r="F24" s="7"/>
      <c r="G24" s="7"/>
      <c r="H24" s="7"/>
      <c r="I24" s="7">
        <v>22106</v>
      </c>
      <c r="J24" s="7">
        <v>336</v>
      </c>
      <c r="K24" s="7"/>
      <c r="L24" s="7">
        <v>162476</v>
      </c>
    </row>
    <row r="25" spans="1:12" x14ac:dyDescent="0.35">
      <c r="A25" t="s">
        <v>86</v>
      </c>
      <c r="B25" s="7">
        <v>62</v>
      </c>
      <c r="C25" s="7"/>
      <c r="D25" s="7">
        <v>13602</v>
      </c>
      <c r="E25" s="7">
        <v>11394</v>
      </c>
      <c r="F25" s="7"/>
      <c r="G25" s="7"/>
      <c r="H25" s="7">
        <v>28</v>
      </c>
      <c r="I25" s="7">
        <v>27253</v>
      </c>
      <c r="J25" s="7">
        <v>25705</v>
      </c>
      <c r="K25" s="7"/>
      <c r="L25" s="7">
        <v>78045</v>
      </c>
    </row>
    <row r="26" spans="1:12" x14ac:dyDescent="0.35">
      <c r="A26" t="s">
        <v>88</v>
      </c>
      <c r="B26" s="7"/>
      <c r="C26" s="7"/>
      <c r="D26" s="7">
        <v>2898</v>
      </c>
      <c r="E26" s="7">
        <v>2430</v>
      </c>
      <c r="F26" s="7"/>
      <c r="G26" s="7"/>
      <c r="H26" s="7">
        <v>16</v>
      </c>
      <c r="I26" s="7">
        <v>996</v>
      </c>
      <c r="J26" s="7">
        <v>21934</v>
      </c>
      <c r="K26" s="7"/>
      <c r="L26" s="7">
        <v>28274</v>
      </c>
    </row>
    <row r="27" spans="1:12" x14ac:dyDescent="0.35">
      <c r="A27" t="s">
        <v>90</v>
      </c>
      <c r="B27" s="7"/>
      <c r="C27" s="7"/>
      <c r="D27" s="7">
        <v>10855</v>
      </c>
      <c r="E27" s="7">
        <v>2</v>
      </c>
      <c r="F27" s="7"/>
      <c r="G27" s="7"/>
      <c r="H27" s="7"/>
      <c r="I27" s="7">
        <v>3874</v>
      </c>
      <c r="J27" s="7">
        <v>3170</v>
      </c>
      <c r="K27" s="7"/>
      <c r="L27" s="7">
        <v>17901</v>
      </c>
    </row>
    <row r="28" spans="1:12" x14ac:dyDescent="0.35">
      <c r="A28" t="s">
        <v>92</v>
      </c>
      <c r="B28" s="7"/>
      <c r="C28" s="7"/>
      <c r="D28" s="7">
        <v>51</v>
      </c>
      <c r="E28" s="7">
        <v>2</v>
      </c>
      <c r="F28" s="7"/>
      <c r="G28" s="7"/>
      <c r="H28" s="7"/>
      <c r="I28" s="7">
        <v>2</v>
      </c>
      <c r="J28" s="7">
        <v>32</v>
      </c>
      <c r="K28" s="7"/>
      <c r="L28" s="7">
        <v>87</v>
      </c>
    </row>
    <row r="29" spans="1:12" x14ac:dyDescent="0.35">
      <c r="A29" t="s">
        <v>94</v>
      </c>
      <c r="B29" s="7">
        <v>1</v>
      </c>
      <c r="C29" s="7"/>
      <c r="D29" s="7">
        <v>2780</v>
      </c>
      <c r="E29" s="7">
        <v>783</v>
      </c>
      <c r="F29" s="7"/>
      <c r="G29" s="7"/>
      <c r="H29" s="7">
        <v>902</v>
      </c>
      <c r="I29" s="7">
        <v>78</v>
      </c>
      <c r="J29" s="7">
        <v>370</v>
      </c>
      <c r="K29" s="7"/>
      <c r="L29" s="7">
        <v>4915</v>
      </c>
    </row>
    <row r="30" spans="1:12" x14ac:dyDescent="0.35">
      <c r="A30" t="s">
        <v>236</v>
      </c>
      <c r="B30" s="7">
        <v>215</v>
      </c>
      <c r="C30" s="7"/>
      <c r="D30" s="7">
        <v>20088</v>
      </c>
      <c r="E30" s="7">
        <v>10516</v>
      </c>
      <c r="F30" s="7"/>
      <c r="G30" s="7"/>
      <c r="H30" s="7"/>
      <c r="I30" s="7"/>
      <c r="J30" s="7"/>
      <c r="K30" s="7"/>
      <c r="L30" s="7">
        <v>30820</v>
      </c>
    </row>
    <row r="32" spans="1:12" x14ac:dyDescent="0.35">
      <c r="B32" s="7">
        <f>SUM(B9,B10:B21,B22*-1)</f>
        <v>1</v>
      </c>
      <c r="C32" s="7">
        <f t="shared" ref="C32:L32" si="0">SUM(C9,C10:C21,C22*-1)</f>
        <v>1</v>
      </c>
      <c r="D32" s="7">
        <f t="shared" si="0"/>
        <v>0</v>
      </c>
      <c r="E32" s="7">
        <f t="shared" si="0"/>
        <v>1</v>
      </c>
      <c r="F32" s="7">
        <f t="shared" si="0"/>
        <v>0</v>
      </c>
      <c r="G32" s="7">
        <f t="shared" si="0"/>
        <v>0</v>
      </c>
      <c r="H32" s="7">
        <f t="shared" si="0"/>
        <v>0</v>
      </c>
      <c r="I32" s="7">
        <f t="shared" si="0"/>
        <v>1</v>
      </c>
      <c r="J32" s="7">
        <f t="shared" si="0"/>
        <v>0</v>
      </c>
      <c r="K32" s="7">
        <f t="shared" si="0"/>
        <v>0</v>
      </c>
      <c r="L32" s="7">
        <f t="shared" si="0"/>
        <v>2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9" tint="0.39997558519241921"/>
  </sheetPr>
  <dimension ref="A1:Q141"/>
  <sheetViews>
    <sheetView zoomScale="86" zoomScaleNormal="86" workbookViewId="0">
      <pane ySplit="1" topLeftCell="A8" activePane="bottomLeft" state="frozen"/>
      <selection pane="bottomLeft" activeCell="A15" sqref="A15:XFD15"/>
    </sheetView>
  </sheetViews>
  <sheetFormatPr defaultRowHeight="14.5" x14ac:dyDescent="0.35"/>
  <cols>
    <col min="1" max="1" width="70" customWidth="1"/>
    <col min="2" max="2" width="9.7265625" customWidth="1"/>
    <col min="3" max="3" width="10.453125" customWidth="1"/>
    <col min="7" max="7" width="9.1796875" customWidth="1"/>
    <col min="10" max="10" width="11.54296875" customWidth="1"/>
    <col min="11" max="11" width="13.7265625" customWidth="1"/>
  </cols>
  <sheetData>
    <row r="1" spans="1:17" ht="19.5" customHeight="1" x14ac:dyDescent="0.35">
      <c r="A1" t="s">
        <v>128</v>
      </c>
      <c r="B1" s="76">
        <f>(('World 1995'!$B12+'World 1995'!$B13+'World 1995'!$B14+'World 1995'!$B20-'World 1995'!$B22+'World 1995'!$B30)*Emissionsfaktorer!$B2*-1+('World 1995'!$D22-'World 1995'!$D30-'World 1995'!$D12-'World 1995'!$D13-'World 1995'!$D14-'World 1995'!$D20)*Emissionsfaktorer!$B4+('World 1995'!$E12+'World 1995'!$E13+'World 1995'!$E14+'World 1995'!$E20-'World 1995'!$E22+'World 1995'!$E30)*Emissionsfaktorer!$B5*-1)*0.041872</f>
        <v>21244.263925088002</v>
      </c>
      <c r="C1" s="76">
        <f>(('World 2000'!$B12+'World 2000'!$B13+'World 2000'!$B14+'World 2000'!$B20-'World 2000'!$B22+'World 2000'!$B30)*Emissionsfaktorer!$B2*-1+('World 2000'!$D22-'World 2000'!$D30-'World 2000'!$D12-'World 2000'!$D13-'World 2000'!$D14-'World 2000'!$D20)*Emissionsfaktorer!$B4+('World 2000'!$E12+'World 2000'!$E13+'World 2000'!$E14+'World 2000'!$E20-'World 2000'!$E22+'World 2000'!$E30)*Emissionsfaktorer!$B5*-1)*0.041872</f>
        <v>23166.076968720001</v>
      </c>
      <c r="D1" s="76">
        <f>(('World 2005'!$B12+'World 2005'!$B13+'World 2005'!$B14+'World 2005'!$B20-'World 2005'!$B22+'World 2005'!$B30)*Emissionsfaktorer!$B2*-1+('World 2005'!$D22-'World 2005'!$D30-'World 2005'!$D12-'World 2005'!$D13-'World 2005'!$D14-'World 2005'!$D20)*Emissionsfaktorer!$B4+('World 2005'!$E12+'World 2005'!$E13+'World 2005'!$E14+'World 2005'!$E20-'World 2005'!$E22+'World 2005'!$E30)*Emissionsfaktorer!$B5*-1)*0.041872</f>
        <v>27002.754565072002</v>
      </c>
      <c r="E1" s="76">
        <f>(('World 2010'!$B12+'World 2010'!$B13+'World 2010'!$B14+'World 2010'!$B20-'World 2010'!$B22+'World 2010'!$B30)*Emissionsfaktorer!$B2*-1+('World 2010'!$D22-'World 2010'!$D30-'World 2010'!$D12-'World 2010'!$D13-'World 2010'!$D14-'World 2010'!$D20)*Emissionsfaktorer!$B4+('World 2010'!$E12+'World 2010'!$E13+'World 2010'!$E14+'World 2010'!$E20-'World 2010'!$E22+'World 2010'!$E30)*Emissionsfaktorer!$B5*-1)*0.041872</f>
        <v>30264.252408784003</v>
      </c>
      <c r="F1" s="76">
        <f>(('World 2015'!$B12+'World 2015'!$B13+'World 2015'!$B14+'World 2015'!$B20-'World 2015'!$B22+'World 2015'!$B30)*Emissionsfaktorer!$B2*-1+('World 2015'!$D22-'World 2015'!$D30-'World 2015'!$D12-'World 2015'!$D13-'World 2015'!$D14-'World 2015'!$D20)*Emissionsfaktorer!$B4+('World 2015'!$E12+'World 2015'!$E13+'World 2015'!$E14+'World 2015'!$E20-'World 2015'!$E22+'World 2015'!$E30)*Emissionsfaktorer!$B5*-1)*0.041872</f>
        <v>31881.523613151996</v>
      </c>
      <c r="G1" s="76">
        <f>(('World 2018'!$B12+'World 2018'!$B13+'World 2018'!$B14+'World 2018'!$B20-'World 2018'!$B22+'World 2018'!$B30)*Emissionsfaktorer!$B2*-1+('World 2018'!$D22-'World 2018'!$D30-'World 2018'!$D12-'World 2018'!$D13-'World 2018'!$D14-'World 2018'!$D20)*Emissionsfaktorer!$B4+('World 2018'!$E12+'World 2018'!$E13+'World 2018'!$E14+'World 2018'!$E20-'World 2018'!$E22+'World 2018'!$E30)*Emissionsfaktorer!$B5*-1)*0.041872</f>
        <v>32995.279034752006</v>
      </c>
      <c r="H1" s="83">
        <f>'BL World 2030'!AH8+'BL World 2030'!AH16</f>
        <v>32958.210013345437</v>
      </c>
      <c r="I1" s="83">
        <f>'BL World 2050'!AH8+'BL World 2050'!AH16</f>
        <v>29285.412617542657</v>
      </c>
      <c r="J1" t="s">
        <v>129</v>
      </c>
    </row>
    <row r="2" spans="1:17" ht="15" customHeight="1" x14ac:dyDescent="0.35">
      <c r="B2" s="117" t="s">
        <v>130</v>
      </c>
      <c r="C2" s="117"/>
      <c r="D2" s="117"/>
      <c r="E2" s="117"/>
      <c r="F2" s="117"/>
      <c r="G2" s="117"/>
      <c r="H2" s="117"/>
      <c r="I2" s="117"/>
    </row>
    <row r="3" spans="1:17" ht="14.25" customHeight="1" x14ac:dyDescent="0.35">
      <c r="B3" s="41">
        <v>1995</v>
      </c>
      <c r="C3" s="114">
        <v>2000</v>
      </c>
      <c r="D3" s="114">
        <v>2005</v>
      </c>
      <c r="E3" s="114">
        <v>2010</v>
      </c>
      <c r="F3" s="114">
        <v>2015</v>
      </c>
      <c r="G3" s="114">
        <v>2018</v>
      </c>
      <c r="H3" s="35">
        <v>2030</v>
      </c>
      <c r="I3" s="35">
        <v>2050</v>
      </c>
      <c r="L3" s="41"/>
      <c r="M3" s="114"/>
      <c r="N3" s="114"/>
      <c r="O3" s="114"/>
      <c r="P3" s="114"/>
      <c r="Q3" s="114"/>
    </row>
    <row r="4" spans="1:17" x14ac:dyDescent="0.35">
      <c r="A4" s="30" t="s">
        <v>131</v>
      </c>
      <c r="B4" s="7">
        <f>('World 1995'!$L22-'World 1995'!$L30)*0.041872*-1</f>
        <v>-251457.27135999998</v>
      </c>
      <c r="C4" s="7">
        <f>('World 2000'!$L22-'World 2000'!$L30)*0.041872*-1</f>
        <v>-269066.54096000001</v>
      </c>
      <c r="D4" s="7">
        <f>('World 2005'!$L22-'World 2005'!$L30)*0.041872*-1</f>
        <v>-304703.75828800001</v>
      </c>
      <c r="E4" s="7">
        <f>('World 2010'!$L22-'World 2010'!$L30)*0.041872*-1</f>
        <v>-338009.24955200002</v>
      </c>
      <c r="F4" s="7">
        <f>('World 2015'!$L22-'World 2015'!$L30)*0.041872*-1</f>
        <v>-358988.67081599997</v>
      </c>
      <c r="G4" s="7">
        <f>('World 2018'!$L22-'World 2018'!$L30)*0.041872*-1</f>
        <v>-377724.84155199997</v>
      </c>
      <c r="H4" s="79">
        <f>G4</f>
        <v>-377724.84155199997</v>
      </c>
      <c r="I4" s="79">
        <f>H4</f>
        <v>-377724.84155199997</v>
      </c>
      <c r="K4" s="30"/>
      <c r="L4" s="40"/>
      <c r="M4" s="40"/>
      <c r="N4" s="40"/>
      <c r="O4" s="40"/>
      <c r="P4" s="40"/>
      <c r="Q4" s="40"/>
    </row>
    <row r="5" spans="1:17" x14ac:dyDescent="0.35">
      <c r="A5" s="31" t="s">
        <v>132</v>
      </c>
      <c r="B5" s="80"/>
      <c r="C5" s="80"/>
      <c r="D5" s="80"/>
      <c r="E5" s="80"/>
      <c r="F5" s="80"/>
      <c r="G5" s="80"/>
      <c r="H5" s="33"/>
      <c r="I5" s="33"/>
      <c r="K5" s="30"/>
      <c r="L5" s="40"/>
      <c r="M5" s="40"/>
      <c r="N5" s="40"/>
      <c r="O5" s="40"/>
      <c r="P5" s="40"/>
      <c r="Q5" s="40"/>
    </row>
    <row r="6" spans="1:17" x14ac:dyDescent="0.35">
      <c r="A6" s="30" t="s">
        <v>133</v>
      </c>
      <c r="B6" s="40">
        <f>('World 1995'!$L23/B$4*0.041872*-1)</f>
        <v>0.29824723830964905</v>
      </c>
      <c r="C6" s="40">
        <f>('World 2000'!$L23/C$4*0.041872*-1)</f>
        <v>0.29121138885733266</v>
      </c>
      <c r="D6" s="40">
        <f>('World 2005'!$L23/D$4*0.041872*-1)</f>
        <v>0.30739577923902733</v>
      </c>
      <c r="E6" s="40">
        <f>('World 2010'!$L23/E$4*0.041872*-1)</f>
        <v>0.32679669012136475</v>
      </c>
      <c r="F6" s="40">
        <f>('World 2015'!$L23/F$4*0.041872*-1)</f>
        <v>0.32475956665427969</v>
      </c>
      <c r="G6" s="40">
        <f>('World 2018'!$L23/G$4*0.041872*-1)</f>
        <v>0.31474687618508979</v>
      </c>
      <c r="H6" s="77">
        <f t="shared" ref="H6:I67" si="0">G6</f>
        <v>0.31474687618508979</v>
      </c>
      <c r="I6" s="77">
        <f>H6</f>
        <v>0.31474687618508979</v>
      </c>
      <c r="K6" s="30"/>
      <c r="L6" s="40"/>
      <c r="M6" s="40"/>
      <c r="N6" s="40"/>
      <c r="O6" s="40"/>
      <c r="P6" s="40"/>
      <c r="Q6" s="40"/>
    </row>
    <row r="7" spans="1:17" x14ac:dyDescent="0.35">
      <c r="A7" s="30" t="s">
        <v>134</v>
      </c>
      <c r="B7" s="40">
        <f>'World 1995'!$L24/B$4*0.041872*-1</f>
        <v>0.2857541071505883</v>
      </c>
      <c r="C7" s="40">
        <f>'World 2000'!$L24/C$4*0.041872*-1</f>
        <v>0.30544465937226206</v>
      </c>
      <c r="D7" s="40">
        <f>'World 2005'!$L24/D$4*0.041872*-1</f>
        <v>0.30483223304455703</v>
      </c>
      <c r="E7" s="40">
        <f>'World 2010'!$L24/E$4*0.041872*-1</f>
        <v>0.30099693512780085</v>
      </c>
      <c r="F7" s="40">
        <f>'World 2015'!$L24/F$4*0.041872*-1</f>
        <v>0.31395135089866683</v>
      </c>
      <c r="G7" s="40">
        <f>'World 2018'!$L24/G$4*0.041872*-1</f>
        <v>0.32046545920209435</v>
      </c>
      <c r="H7" s="77">
        <f t="shared" si="0"/>
        <v>0.32046545920209435</v>
      </c>
      <c r="I7" s="77">
        <f t="shared" si="0"/>
        <v>0.32046545920209435</v>
      </c>
      <c r="K7" s="30"/>
      <c r="L7" s="40"/>
      <c r="M7" s="40"/>
      <c r="N7" s="40"/>
      <c r="O7" s="40"/>
      <c r="P7" s="40"/>
      <c r="Q7" s="40"/>
    </row>
    <row r="8" spans="1:17" x14ac:dyDescent="0.35">
      <c r="A8" s="30" t="s">
        <v>135</v>
      </c>
      <c r="B8" s="40">
        <f>'World 1995'!$L25/B$4*0.041872*-1</f>
        <v>0.28752418664597412</v>
      </c>
      <c r="C8" s="40">
        <f>'World 2000'!$L25/C$4*0.041872*-1</f>
        <v>0.28075531479490129</v>
      </c>
      <c r="D8" s="40">
        <f>'World 2005'!$L25/D$4*0.041872*-1</f>
        <v>0.26074775846021775</v>
      </c>
      <c r="E8" s="40">
        <f>'World 2010'!$L25/E$4*0.041872*-1</f>
        <v>0.24618823476071239</v>
      </c>
      <c r="F8" s="40">
        <f>'World 2015'!$L25/F$4*0.041872*-1</f>
        <v>0.23278242505550256</v>
      </c>
      <c r="G8" s="40">
        <f>'World 2018'!$L25/G$4*0.041872*-1</f>
        <v>0.23381208235371456</v>
      </c>
      <c r="H8" s="89">
        <f>1-H6-H7-H9-H10-H11-H12</f>
        <v>0.23381219320689489</v>
      </c>
      <c r="I8" s="89">
        <f>1-I6-I7-I9-I10-I11-I12</f>
        <v>0.23381219320689489</v>
      </c>
      <c r="K8" s="30"/>
      <c r="L8" s="40"/>
      <c r="M8" s="40"/>
      <c r="N8" s="40"/>
      <c r="O8" s="40"/>
      <c r="P8" s="40"/>
      <c r="Q8" s="40"/>
    </row>
    <row r="9" spans="1:17" x14ac:dyDescent="0.35">
      <c r="A9" s="30" t="s">
        <v>136</v>
      </c>
      <c r="B9" s="40">
        <f>'World 1995'!$L26/B$4*0.041872*-1</f>
        <v>8.3718265954860482E-2</v>
      </c>
      <c r="C9" s="40">
        <f>'World 2000'!$L26/C$4*0.041872*-1</f>
        <v>8.636928818085475E-2</v>
      </c>
      <c r="D9" s="40">
        <f>'World 2005'!$L26/D$4*0.041872*-1</f>
        <v>8.8336050330430169E-2</v>
      </c>
      <c r="E9" s="40">
        <f>'World 2010'!$L26/E$4*0.041872*-1</f>
        <v>8.8867543287092454E-2</v>
      </c>
      <c r="F9" s="40">
        <f>'World 2015'!$L26/F$4*0.041872*-1</f>
        <v>8.8788470676661221E-2</v>
      </c>
      <c r="G9" s="40">
        <f>'World 2018'!$L26/G$4*0.041872*-1</f>
        <v>8.9637987877317901E-2</v>
      </c>
      <c r="H9" s="88">
        <f t="shared" si="0"/>
        <v>8.9637987877317901E-2</v>
      </c>
      <c r="I9" s="88">
        <f t="shared" si="0"/>
        <v>8.9637987877317901E-2</v>
      </c>
      <c r="K9" s="30"/>
      <c r="L9" s="40"/>
      <c r="M9" s="40"/>
      <c r="N9" s="40"/>
      <c r="O9" s="40"/>
      <c r="P9" s="40"/>
      <c r="Q9" s="40"/>
    </row>
    <row r="10" spans="1:17" x14ac:dyDescent="0.35">
      <c r="A10" s="30" t="s">
        <v>137</v>
      </c>
      <c r="B10" s="40">
        <f>'World 1995'!$L27/B$4*0.041872*-1</f>
        <v>2.903846217891291E-2</v>
      </c>
      <c r="C10" s="40">
        <f>'World 2000'!$L27/C$4*0.041872*-1</f>
        <v>2.321749536642945E-2</v>
      </c>
      <c r="D10" s="40">
        <f>'World 2005'!$L27/D$4*0.041872*-1</f>
        <v>2.3962389046408912E-2</v>
      </c>
      <c r="E10" s="40">
        <f>'World 2010'!$L27/E$4*0.041872*-1</f>
        <v>2.2638505502858428E-2</v>
      </c>
      <c r="F10" s="40">
        <f>'World 2015'!$L27/F$4*0.041872*-1</f>
        <v>2.3044673351934886E-2</v>
      </c>
      <c r="G10" s="40">
        <f>'World 2018'!$L27/G$4*0.041872*-1</f>
        <v>2.3802284041099485E-2</v>
      </c>
      <c r="H10" s="88">
        <f t="shared" si="0"/>
        <v>2.3802284041099485E-2</v>
      </c>
      <c r="I10" s="88">
        <f t="shared" si="0"/>
        <v>2.3802284041099485E-2</v>
      </c>
      <c r="K10" s="30"/>
      <c r="L10" s="40"/>
      <c r="M10" s="40"/>
      <c r="N10" s="40"/>
      <c r="O10" s="40"/>
      <c r="P10" s="40"/>
      <c r="Q10" s="40"/>
    </row>
    <row r="11" spans="1:17" x14ac:dyDescent="0.35">
      <c r="A11" s="30" t="s">
        <v>138</v>
      </c>
      <c r="B11" s="40">
        <f>'World 1995'!$L28/B$4*0.041872*-1</f>
        <v>1.0070969697171537E-3</v>
      </c>
      <c r="C11" s="40">
        <f>'World 2000'!$L28/C$4*0.041872*-1</f>
        <v>9.6001668241017248E-4</v>
      </c>
      <c r="D11" s="40">
        <f>'World 2005'!$L28/D$4*0.041872*-1</f>
        <v>1.1067703591671821E-3</v>
      </c>
      <c r="E11" s="40">
        <f>'World 2010'!$L28/E$4*0.041872*-1</f>
        <v>9.9486636074515755E-4</v>
      </c>
      <c r="F11" s="40">
        <f>'World 2015'!$L28/F$4*0.041872*-1</f>
        <v>8.3664995699528257E-4</v>
      </c>
      <c r="G11" s="40">
        <f>'World 2018'!$L28/G$4*0.041872*-1</f>
        <v>7.765265286625864E-4</v>
      </c>
      <c r="H11" s="88">
        <f t="shared" si="0"/>
        <v>7.765265286625864E-4</v>
      </c>
      <c r="I11" s="88">
        <f t="shared" si="0"/>
        <v>7.765265286625864E-4</v>
      </c>
      <c r="K11" s="30"/>
      <c r="L11" s="40"/>
      <c r="M11" s="40"/>
      <c r="N11" s="40"/>
      <c r="O11" s="40"/>
      <c r="P11" s="40"/>
      <c r="Q11" s="40"/>
    </row>
    <row r="12" spans="1:17" x14ac:dyDescent="0.35">
      <c r="A12" s="30" t="s">
        <v>139</v>
      </c>
      <c r="B12" s="40">
        <f>'World 1995'!$L29/B$4*0.041872*-1</f>
        <v>1.4710975825010242E-2</v>
      </c>
      <c r="C12" s="40">
        <f>'World 2000'!$L29/C$4*0.041872*-1</f>
        <v>1.2042147984805313E-2</v>
      </c>
      <c r="D12" s="40">
        <f>'World 2005'!$L29/D$4*0.041872*-1</f>
        <v>1.3619019520191551E-2</v>
      </c>
      <c r="E12" s="40">
        <f>'World 2010'!$L29/E$4*0.041872*-1</f>
        <v>1.3517348717692701E-2</v>
      </c>
      <c r="F12" s="40">
        <f>'World 2015'!$L29/F$4*0.041872*-1</f>
        <v>1.5836863405959637E-2</v>
      </c>
      <c r="G12" s="40">
        <f>'World 2018'!$L29/G$4*0.041872*-1</f>
        <v>1.6758672958840991E-2</v>
      </c>
      <c r="H12" s="88">
        <f t="shared" si="0"/>
        <v>1.6758672958840991E-2</v>
      </c>
      <c r="I12" s="88">
        <f t="shared" si="0"/>
        <v>1.6758672958840991E-2</v>
      </c>
    </row>
    <row r="13" spans="1:17" x14ac:dyDescent="0.35">
      <c r="A13" s="31" t="s">
        <v>140</v>
      </c>
      <c r="B13" s="81"/>
      <c r="C13" s="81"/>
      <c r="D13" s="81"/>
      <c r="E13" s="81"/>
      <c r="F13" s="81"/>
      <c r="G13" s="81"/>
      <c r="H13" s="42"/>
      <c r="I13" s="42"/>
    </row>
    <row r="14" spans="1:17" x14ac:dyDescent="0.35">
      <c r="A14" s="30" t="s">
        <v>141</v>
      </c>
      <c r="B14" s="40">
        <f>'World 1995'!$B23/'World 1995'!$L23</f>
        <v>0.25857132647865433</v>
      </c>
      <c r="C14" s="40">
        <f>'World 2000'!$B23/'World 2000'!$L23</f>
        <v>0.21351688448269229</v>
      </c>
      <c r="D14" s="40">
        <f>'World 2005'!$B23/'World 2005'!$L23</f>
        <v>0.29175771415083546</v>
      </c>
      <c r="E14" s="40">
        <f>'World 2010'!$B23/'World 2010'!$L23</f>
        <v>0.32868519779973593</v>
      </c>
      <c r="F14" s="40">
        <f>'World 2015'!$B23/'World 2015'!$L23</f>
        <v>0.31892933245077165</v>
      </c>
      <c r="G14" s="40">
        <f>'World 2018'!$B23/'World 2018'!$L23</f>
        <v>0.28062844779705515</v>
      </c>
      <c r="H14" s="77">
        <v>0.2</v>
      </c>
      <c r="I14" s="77">
        <f t="shared" si="0"/>
        <v>0.2</v>
      </c>
    </row>
    <row r="15" spans="1:17" hidden="1" x14ac:dyDescent="0.35">
      <c r="A15" s="30" t="s">
        <v>142</v>
      </c>
      <c r="B15" s="40">
        <f>'World 1995'!$C23/'World 1995'!$L23</f>
        <v>2.2494707127734652E-3</v>
      </c>
      <c r="C15" s="40">
        <f>'World 2000'!$C23/'World 2000'!$L23</f>
        <v>2.818889929161697E-3</v>
      </c>
      <c r="D15" s="40">
        <f>'World 2005'!$C23/'World 2005'!$L23</f>
        <v>2.0376158731975282E-3</v>
      </c>
      <c r="E15" s="40">
        <f>'World 2010'!$C23/'World 2010'!$L23</f>
        <v>3.5950837873623934E-3</v>
      </c>
      <c r="F15" s="40">
        <f>'World 2015'!$C23/'World 2015'!$L23</f>
        <v>1.2771525101829208E-3</v>
      </c>
      <c r="G15" s="40">
        <f>'World 2018'!$C23/'World 2018'!$L23</f>
        <v>8.8049468304480692E-4</v>
      </c>
      <c r="H15" s="77">
        <f t="shared" si="0"/>
        <v>8.8049468304480692E-4</v>
      </c>
      <c r="I15" s="77">
        <f t="shared" si="0"/>
        <v>8.8049468304480692E-4</v>
      </c>
    </row>
    <row r="16" spans="1:17" x14ac:dyDescent="0.35">
      <c r="A16" s="30" t="s">
        <v>143</v>
      </c>
      <c r="B16" s="40">
        <f>'World 1995'!$D23/'World 1995'!$L23</f>
        <v>0.16786724047059665</v>
      </c>
      <c r="C16" s="40">
        <f>'World 2000'!$D23/'World 2000'!$L23</f>
        <v>0.16865137893148308</v>
      </c>
      <c r="D16" s="40">
        <f>'World 2005'!$D23/'World 2005'!$L23</f>
        <v>0.14422323829823758</v>
      </c>
      <c r="E16" s="40">
        <f>'World 2010'!$D23/'World 2010'!$L23</f>
        <v>0.11833337313550517</v>
      </c>
      <c r="F16" s="40">
        <f>'World 2015'!$D23/'World 2015'!$L23</f>
        <v>0.10509068824369622</v>
      </c>
      <c r="G16" s="40">
        <f>'World 2018'!$D23/'World 2018'!$L23</f>
        <v>0.10229094150592062</v>
      </c>
      <c r="H16" s="77">
        <f t="shared" si="0"/>
        <v>0.10229094150592062</v>
      </c>
      <c r="I16" s="77">
        <f t="shared" si="0"/>
        <v>0.10229094150592062</v>
      </c>
      <c r="J16">
        <v>3</v>
      </c>
    </row>
    <row r="17" spans="1:9" x14ac:dyDescent="0.35">
      <c r="A17" s="30" t="s">
        <v>144</v>
      </c>
      <c r="B17" s="40">
        <f>'World 1995'!$E23/'World 1995'!$L23</f>
        <v>0.20682735856641327</v>
      </c>
      <c r="C17" s="40">
        <f>'World 2000'!$E23/'World 2000'!$L23</f>
        <v>0.22728001436431494</v>
      </c>
      <c r="D17" s="40">
        <f>'World 2005'!$E23/'World 2005'!$L23</f>
        <v>0.19283946555275808</v>
      </c>
      <c r="E17" s="40">
        <f>'World 2010'!$E23/'World 2010'!$L23</f>
        <v>0.18914939726244454</v>
      </c>
      <c r="F17" s="40">
        <f>'World 2015'!$E23/'World 2015'!$L23</f>
        <v>0.19444682882959891</v>
      </c>
      <c r="G17" s="40">
        <f>'World 2018'!$E23/'World 2018'!$L23</f>
        <v>0.21056607707568697</v>
      </c>
      <c r="H17" s="77">
        <v>0.23</v>
      </c>
      <c r="I17" s="77">
        <f t="shared" si="0"/>
        <v>0.23</v>
      </c>
    </row>
    <row r="18" spans="1:9" x14ac:dyDescent="0.35">
      <c r="A18" s="30" t="s">
        <v>145</v>
      </c>
      <c r="B18" s="40">
        <f>'World 1995'!$H23/'World 1995'!$L23</f>
        <v>1.1780549029416757E-4</v>
      </c>
      <c r="C18" s="40">
        <f>'World 2000'!$H23/'World 2000'!$L23</f>
        <v>2.2444242090007824E-4</v>
      </c>
      <c r="D18" s="40">
        <f>'World 2005'!$H23/'World 2005'!$L23</f>
        <v>2.1860337033646144E-4</v>
      </c>
      <c r="E18" s="40">
        <f>'World 2010'!$H23/'World 2010'!$L23</f>
        <v>1.7816210249476224E-4</v>
      </c>
      <c r="F18" s="40">
        <f>'World 2015'!$H23/'World 2015'!$L23</f>
        <v>3.0528111182662621E-4</v>
      </c>
      <c r="G18" s="40">
        <f>'World 2018'!$H23/'World 2018'!$L23</f>
        <v>3.5994622642871707E-4</v>
      </c>
      <c r="H18" s="77">
        <f t="shared" si="0"/>
        <v>3.5994622642871707E-4</v>
      </c>
      <c r="I18" s="77">
        <f t="shared" si="0"/>
        <v>3.5994622642871707E-4</v>
      </c>
    </row>
    <row r="19" spans="1:9" x14ac:dyDescent="0.35">
      <c r="A19" s="30" t="s">
        <v>146</v>
      </c>
      <c r="B19" s="40">
        <f>'World 1995'!$I23/'World 1995'!$L23</f>
        <v>6.9004984679703063E-2</v>
      </c>
      <c r="C19" s="40">
        <f>'World 2000'!$I23/'World 2000'!$L23</f>
        <v>8.5513631136362664E-2</v>
      </c>
      <c r="D19" s="40">
        <f>'World 2005'!$I23/'World 2005'!$L23</f>
        <v>7.669223148889906E-2</v>
      </c>
      <c r="E19" s="40">
        <f>'World 2010'!$I23/'World 2010'!$L23</f>
        <v>6.9959708830054965E-2</v>
      </c>
      <c r="F19" s="40">
        <f>'World 2015'!$I23/'World 2015'!$L23</f>
        <v>7.1707659934080833E-2</v>
      </c>
      <c r="G19" s="40">
        <f>'World 2018'!$I23/'World 2018'!$L23</f>
        <v>7.186491943649749E-2</v>
      </c>
      <c r="H19" s="77">
        <f t="shared" si="0"/>
        <v>7.186491943649749E-2</v>
      </c>
      <c r="I19" s="77">
        <f t="shared" si="0"/>
        <v>7.186491943649749E-2</v>
      </c>
    </row>
    <row r="20" spans="1:9" x14ac:dyDescent="0.35">
      <c r="A20" s="30" t="s">
        <v>147</v>
      </c>
      <c r="B20" s="40">
        <f>'World 1995'!$J23/'World 1995'!$L23</f>
        <v>0.22740312033802917</v>
      </c>
      <c r="C20" s="40">
        <f>'World 2000'!$J23/'World 2000'!$L23</f>
        <v>0.24824881473026297</v>
      </c>
      <c r="D20" s="40">
        <f>'World 2005'!$J23/'World 2005'!$L23</f>
        <v>0.24123396014534218</v>
      </c>
      <c r="E20" s="40">
        <f>'World 2010'!$J23/'World 2010'!$L23</f>
        <v>0.24291113842930015</v>
      </c>
      <c r="F20" s="40">
        <f>'World 2015'!$J23/'World 2015'!$L23</f>
        <v>0.26347124736784827</v>
      </c>
      <c r="G20" s="40">
        <f>'World 2018'!$J23/'World 2018'!$L23</f>
        <v>0.28350660881699202</v>
      </c>
      <c r="H20" s="89">
        <f>1-H14-H15-H16-H17-H18-H19-H21</f>
        <v>0.3447007814918609</v>
      </c>
      <c r="I20" s="89">
        <f>1-I14-I15-I16-I17-I18-I19-I21</f>
        <v>0.3447007814918609</v>
      </c>
    </row>
    <row r="21" spans="1:9" x14ac:dyDescent="0.35">
      <c r="A21" s="30" t="s">
        <v>148</v>
      </c>
      <c r="B21" s="40">
        <f>'World 1995'!$K23/'World 1995'!$L23</f>
        <v>6.7958693263535902E-2</v>
      </c>
      <c r="C21" s="40">
        <f>'World 2000'!$K23/'World 2000'!$L23</f>
        <v>5.3745944004822306E-2</v>
      </c>
      <c r="D21" s="40">
        <f>'World 2005'!$K23/'World 2005'!$L23</f>
        <v>5.0997171120393682E-2</v>
      </c>
      <c r="E21" s="40">
        <f>'World 2010'!$K23/'World 2010'!$L23</f>
        <v>4.7187938653102085E-2</v>
      </c>
      <c r="F21" s="40">
        <f>'World 2015'!$K23/'World 2015'!$L23</f>
        <v>4.4771450397745376E-2</v>
      </c>
      <c r="G21" s="40">
        <f>'World 2018'!$K23/'World 2018'!$L23</f>
        <v>4.9902916656247479E-2</v>
      </c>
      <c r="H21" s="77">
        <f t="shared" si="0"/>
        <v>4.9902916656247479E-2</v>
      </c>
      <c r="I21" s="77">
        <f t="shared" si="0"/>
        <v>4.9902916656247479E-2</v>
      </c>
    </row>
    <row r="22" spans="1:9" x14ac:dyDescent="0.35">
      <c r="A22" s="31" t="s">
        <v>149</v>
      </c>
      <c r="B22" s="81"/>
      <c r="C22" s="81"/>
      <c r="D22" s="81"/>
      <c r="E22" s="81"/>
      <c r="F22" s="81"/>
      <c r="G22" s="81"/>
      <c r="H22" s="42"/>
      <c r="I22" s="42"/>
    </row>
    <row r="23" spans="1:9" x14ac:dyDescent="0.35">
      <c r="A23" s="30" t="s">
        <v>141</v>
      </c>
      <c r="B23" s="40">
        <f>'World 1995'!$B24/'World 1995'!$L24</f>
        <v>1.8851300244396765E-3</v>
      </c>
      <c r="C23" s="40">
        <f>'World 2000'!$B24/'World 2000'!$L24</f>
        <v>3.1231435637258845E-4</v>
      </c>
      <c r="D23" s="40">
        <f>'World 2005'!$B24/'World 2005'!$L24</f>
        <v>1.1810989900702032E-4</v>
      </c>
      <c r="E23" s="40">
        <f>'World 2010'!$B24/'World 2010'!$L24</f>
        <v>7.696170023623538E-5</v>
      </c>
      <c r="F23" s="40">
        <f>'World 2015'!$B24/'World 2015'!$L24</f>
        <v>2.0433525098870397E-5</v>
      </c>
      <c r="G23" s="40">
        <f>'World 2018'!$B24/'World 2018'!$L24</f>
        <v>1.8333390985506245E-5</v>
      </c>
      <c r="H23" s="77">
        <f t="shared" si="0"/>
        <v>1.8333390985506245E-5</v>
      </c>
      <c r="I23" s="77">
        <f t="shared" si="0"/>
        <v>1.8333390985506245E-5</v>
      </c>
    </row>
    <row r="24" spans="1:9" x14ac:dyDescent="0.35">
      <c r="A24" s="30" t="s">
        <v>143</v>
      </c>
      <c r="B24" s="40">
        <f>'World 1995'!$D24/'World 1995'!$L24</f>
        <v>0.94758755802529282</v>
      </c>
      <c r="C24" s="40">
        <f>'World 2000'!$D24/'World 2000'!$L24</f>
        <v>0.95564983293984107</v>
      </c>
      <c r="D24" s="40">
        <f>'World 2005'!$D24/'World 2005'!$L24</f>
        <v>0.94774628731450095</v>
      </c>
      <c r="E24" s="40">
        <f>'World 2010'!$D24/'World 2010'!$L24</f>
        <v>0.92950719818255145</v>
      </c>
      <c r="F24" s="40">
        <f>'World 2015'!$D24/'World 2015'!$L24</f>
        <v>0.9239204132773331</v>
      </c>
      <c r="G24" s="40">
        <f>'World 2018'!$D24/'World 2018'!$L24</f>
        <v>0.91681967553357091</v>
      </c>
      <c r="H24" s="89">
        <f>1-H23-H25-H26-H27-H28-H29</f>
        <v>0.91684423535923065</v>
      </c>
      <c r="I24" s="89">
        <f>1-I23-I25-I26-I27-I28-I29</f>
        <v>0.12844096994015697</v>
      </c>
    </row>
    <row r="25" spans="1:9" x14ac:dyDescent="0.35">
      <c r="A25" s="30" t="s">
        <v>144</v>
      </c>
      <c r="B25" s="40">
        <f>'World 1995'!$E24/'World 1995'!$L24</f>
        <v>3.4325100142069458E-2</v>
      </c>
      <c r="C25" s="40">
        <f>'World 2000'!$E24/'World 2000'!$L24</f>
        <v>2.9415630798577109E-2</v>
      </c>
      <c r="D25" s="40">
        <f>'World 2005'!$E24/'World 2005'!$L24</f>
        <v>3.3339900003290845E-2</v>
      </c>
      <c r="E25" s="40">
        <f>'World 2010'!$E24/'World 2010'!$L24</f>
        <v>3.6710319452789963E-2</v>
      </c>
      <c r="F25" s="40">
        <f>'World 2015'!$E24/'World 2015'!$L24</f>
        <v>3.6321148141199376E-2</v>
      </c>
      <c r="G25" s="40">
        <f>'World 2018'!$E24/'World 2018'!$L24</f>
        <v>4.0532360164654606E-2</v>
      </c>
      <c r="H25" s="90">
        <f t="shared" si="0"/>
        <v>4.0532360164654606E-2</v>
      </c>
      <c r="I25" s="90">
        <f t="shared" si="0"/>
        <v>4.0532360164654606E-2</v>
      </c>
    </row>
    <row r="26" spans="1:9" x14ac:dyDescent="0.35">
      <c r="A26" s="30" t="s">
        <v>145</v>
      </c>
      <c r="B26" s="40">
        <f>'World 1995'!$H24/'World 1995'!$L24</f>
        <v>0</v>
      </c>
      <c r="C26" s="40">
        <f>'World 2000'!$H24/'World 2000'!$L24</f>
        <v>0</v>
      </c>
      <c r="D26" s="40">
        <f>'World 2005'!$H24/'World 2005'!$L24</f>
        <v>0</v>
      </c>
      <c r="E26" s="40">
        <f>'World 2010'!$H24/'World 2010'!$L24</f>
        <v>0</v>
      </c>
      <c r="F26" s="40">
        <f>'World 2015'!$H24/'World 2015'!$L24</f>
        <v>0</v>
      </c>
      <c r="G26" s="40">
        <f>'World 2018'!$H24/'World 2018'!$L24</f>
        <v>0</v>
      </c>
      <c r="H26" s="77">
        <f t="shared" si="0"/>
        <v>0</v>
      </c>
      <c r="I26" s="77">
        <f t="shared" si="0"/>
        <v>0</v>
      </c>
    </row>
    <row r="27" spans="1:9" x14ac:dyDescent="0.35">
      <c r="A27" s="30" t="s">
        <v>146</v>
      </c>
      <c r="B27" s="40">
        <f>'World 1995'!$I24/'World 1995'!$L24</f>
        <v>5.6839438202116238E-3</v>
      </c>
      <c r="C27" s="40">
        <f>'World 2000'!$I24/'World 2000'!$L24</f>
        <v>5.0607153374370656E-3</v>
      </c>
      <c r="D27" s="40">
        <f>'World 2005'!$I24/'World 2005'!$L24</f>
        <v>8.7126336569033659E-3</v>
      </c>
      <c r="E27" s="40">
        <f>'World 2010'!$I24/'World 2010'!$L24</f>
        <v>2.3251076229123625E-2</v>
      </c>
      <c r="F27" s="40">
        <f>'World 2015'!$I24/'World 2015'!$L24</f>
        <v>2.9034553090942189E-2</v>
      </c>
      <c r="G27" s="40">
        <f>'World 2018'!$I24/'World 2018'!$L24</f>
        <v>3.1008336504202844E-2</v>
      </c>
      <c r="H27" s="77">
        <f t="shared" si="0"/>
        <v>3.1008336504202844E-2</v>
      </c>
      <c r="I27" s="77">
        <f t="shared" si="0"/>
        <v>3.1008336504202844E-2</v>
      </c>
    </row>
    <row r="28" spans="1:9" x14ac:dyDescent="0.35">
      <c r="A28" s="30" t="s">
        <v>147</v>
      </c>
      <c r="B28" s="40">
        <f>'World 1995'!$J24/'World 1995'!$L24</f>
        <v>1.0511857963173825E-2</v>
      </c>
      <c r="C28" s="40">
        <f>'World 2000'!$J24/'World 2000'!$L24</f>
        <v>9.5564117169341638E-3</v>
      </c>
      <c r="D28" s="40">
        <f>'World 2005'!$J24/'World 2005'!$L24</f>
        <v>1.0074053103472837E-2</v>
      </c>
      <c r="E28" s="40">
        <f>'World 2010'!$J24/'World 2010'!$L24</f>
        <v>1.0438805159314835E-2</v>
      </c>
      <c r="F28" s="40">
        <f>'World 2015'!$J24/'World 2015'!$L24</f>
        <v>1.0697879185854057E-2</v>
      </c>
      <c r="G28" s="40">
        <f>'World 2018'!$J24/'World 2018'!$L24</f>
        <v>1.1596734580926355E-2</v>
      </c>
      <c r="H28" s="77">
        <f>G28</f>
        <v>1.1596734580926355E-2</v>
      </c>
      <c r="I28" s="77">
        <v>0.8</v>
      </c>
    </row>
    <row r="29" spans="1:9" x14ac:dyDescent="0.35">
      <c r="A29" s="30" t="s">
        <v>148</v>
      </c>
      <c r="B29" s="40">
        <f>'World 1995'!$K24/'World 1995'!$L24</f>
        <v>0</v>
      </c>
      <c r="C29" s="40">
        <f>'World 2000'!$K24/'World 2000'!$L24</f>
        <v>0</v>
      </c>
      <c r="D29" s="40">
        <f>'World 2005'!$K24/'World 2005'!$L24</f>
        <v>0</v>
      </c>
      <c r="E29" s="40">
        <f>'World 2010'!$K24/'World 2010'!$L24</f>
        <v>0</v>
      </c>
      <c r="F29" s="40">
        <f>'World 2015'!$K24/'World 2015'!$L24</f>
        <v>0</v>
      </c>
      <c r="G29" s="40">
        <f>'World 2018'!$K24/'World 2018'!$L24</f>
        <v>0</v>
      </c>
      <c r="H29" s="77">
        <f t="shared" si="0"/>
        <v>0</v>
      </c>
      <c r="I29" s="77">
        <f t="shared" si="0"/>
        <v>0</v>
      </c>
    </row>
    <row r="30" spans="1:9" x14ac:dyDescent="0.35">
      <c r="A30" s="31" t="s">
        <v>150</v>
      </c>
      <c r="B30" s="81"/>
      <c r="C30" s="81"/>
      <c r="D30" s="81"/>
      <c r="E30" s="81"/>
      <c r="F30" s="81"/>
      <c r="G30" s="81"/>
      <c r="H30" s="42"/>
      <c r="I30" s="42"/>
    </row>
    <row r="31" spans="1:9" x14ac:dyDescent="0.35">
      <c r="A31" s="30" t="s">
        <v>141</v>
      </c>
      <c r="B31" s="40">
        <f>'World 1995'!$B$25/'World 1995'!$L$25</f>
        <v>6.5759845994537533E-2</v>
      </c>
      <c r="C31" s="40">
        <f>'World 2000'!$B$25/'World 2000'!$L$25</f>
        <v>4.2684109762465124E-2</v>
      </c>
      <c r="D31" s="40">
        <f>'World 2005'!$B$25/'World 2005'!$L$25</f>
        <v>4.136826477797529E-2</v>
      </c>
      <c r="E31" s="40">
        <f>'World 2010'!$B$25/'World 2010'!$L$25</f>
        <v>3.8727142814012704E-2</v>
      </c>
      <c r="F31" s="40">
        <f>'World 2015'!$B$25/'World 2015'!$L$25</f>
        <v>3.7557716252746454E-2</v>
      </c>
      <c r="G31" s="40">
        <f>'World 2018'!$B$25/'World 2018'!$L$25</f>
        <v>3.550010548998319E-2</v>
      </c>
      <c r="H31" s="77">
        <f t="shared" si="0"/>
        <v>3.550010548998319E-2</v>
      </c>
      <c r="I31" s="77">
        <f t="shared" si="0"/>
        <v>3.550010548998319E-2</v>
      </c>
    </row>
    <row r="32" spans="1:9" x14ac:dyDescent="0.35">
      <c r="A32" s="30" t="s">
        <v>143</v>
      </c>
      <c r="B32" s="40">
        <f>'World 1995'!$D$25/'World 1995'!$L$25</f>
        <v>0.1236364099677302</v>
      </c>
      <c r="C32" s="40">
        <f>'World 2000'!$D$25/'World 2000'!$L$25</f>
        <v>0.12582131727817644</v>
      </c>
      <c r="D32" s="40">
        <f>'World 2005'!$D$25/'World 2005'!$L$25</f>
        <v>0.12141173320881658</v>
      </c>
      <c r="E32" s="40">
        <f>'World 2010'!$D$25/'World 2010'!$L$25</f>
        <v>0.10411202914448459</v>
      </c>
      <c r="F32" s="40">
        <f>'World 2015'!$D$25/'World 2015'!$L$25</f>
        <v>0.10268945837540179</v>
      </c>
      <c r="G32" s="40">
        <f>'World 2018'!$D$25/'World 2018'!$L$25</f>
        <v>0.10349728926301616</v>
      </c>
      <c r="H32" s="77">
        <f t="shared" si="0"/>
        <v>0.10349728926301616</v>
      </c>
      <c r="I32" s="77">
        <f t="shared" si="0"/>
        <v>0.10349728926301616</v>
      </c>
    </row>
    <row r="33" spans="1:9" x14ac:dyDescent="0.35">
      <c r="A33" s="30" t="s">
        <v>144</v>
      </c>
      <c r="B33" s="40">
        <f>'World 1995'!$E$25/'World 1995'!$L$25</f>
        <v>0.19071090848860134</v>
      </c>
      <c r="C33" s="40">
        <f>'World 2000'!$E$25/'World 2000'!$L$25</f>
        <v>0.20482685683942367</v>
      </c>
      <c r="D33" s="40">
        <f>'World 2005'!$E$25/'World 2005'!$L$25</f>
        <v>0.20954387133597441</v>
      </c>
      <c r="E33" s="40">
        <f>'World 2010'!$E$25/'World 2010'!$L$25</f>
        <v>0.21611098251934746</v>
      </c>
      <c r="F33" s="40">
        <f>'World 2015'!$E$25/'World 2015'!$L$25</f>
        <v>0.21203304012767099</v>
      </c>
      <c r="G33" s="40">
        <f>'World 2018'!$E$25/'World 2018'!$L$25</f>
        <v>0.22829928812040556</v>
      </c>
      <c r="H33" s="77">
        <f t="shared" si="0"/>
        <v>0.22829928812040556</v>
      </c>
      <c r="I33" s="77">
        <f t="shared" si="0"/>
        <v>0.22829928812040556</v>
      </c>
    </row>
    <row r="34" spans="1:9" x14ac:dyDescent="0.35">
      <c r="A34" s="30" t="s">
        <v>145</v>
      </c>
      <c r="B34" s="40">
        <f>'World 1995'!$H$25/'World 1995'!$L$25</f>
        <v>1.9088523025530899E-3</v>
      </c>
      <c r="C34" s="40">
        <f>'World 2000'!$H$25/'World 2000'!$L$25</f>
        <v>3.541904779853158E-3</v>
      </c>
      <c r="D34" s="40">
        <f>'World 2005'!$H$25/'World 2005'!$L$25</f>
        <v>4.7152285491884188E-3</v>
      </c>
      <c r="E34" s="40">
        <f>'World 2010'!$H$25/'World 2010'!$L$25</f>
        <v>7.6992361649239685E-3</v>
      </c>
      <c r="F34" s="40">
        <f>'World 2015'!$H$25/'World 2015'!$L$25</f>
        <v>1.5018376504130015E-2</v>
      </c>
      <c r="G34" s="40">
        <f>'World 2018'!$H$25/'World 2018'!$L$25</f>
        <v>1.6581128908759461E-2</v>
      </c>
      <c r="H34" s="77">
        <f t="shared" si="0"/>
        <v>1.6581128908759461E-2</v>
      </c>
      <c r="I34" s="77">
        <f t="shared" si="0"/>
        <v>1.6581128908759461E-2</v>
      </c>
    </row>
    <row r="35" spans="1:9" x14ac:dyDescent="0.35">
      <c r="A35" s="30" t="s">
        <v>146</v>
      </c>
      <c r="B35" s="40">
        <f>'World 1995'!$I$25/'World 1995'!$L$25</f>
        <v>0.39756424423116571</v>
      </c>
      <c r="C35" s="40">
        <f>'World 2000'!$I$25/'World 2000'!$L$25</f>
        <v>0.39210825923417258</v>
      </c>
      <c r="D35" s="40">
        <f>'World 2005'!$I$25/'World 2005'!$L$25</f>
        <v>0.37888313326858042</v>
      </c>
      <c r="E35" s="40">
        <f>'World 2010'!$I$25/'World 2010'!$L$25</f>
        <v>0.36459790473698511</v>
      </c>
      <c r="F35" s="40">
        <f>'World 2015'!$I$25/'World 2015'!$L$25</f>
        <v>0.34473720471701186</v>
      </c>
      <c r="G35" s="40">
        <f>'World 2018'!$I$25/'World 2018'!$L$25</f>
        <v>0.31943552191465507</v>
      </c>
      <c r="H35" s="77">
        <f t="shared" si="0"/>
        <v>0.31943552191465507</v>
      </c>
      <c r="I35" s="77">
        <f t="shared" si="0"/>
        <v>0.31943552191465507</v>
      </c>
    </row>
    <row r="36" spans="1:9" x14ac:dyDescent="0.35">
      <c r="A36" s="30" t="s">
        <v>147</v>
      </c>
      <c r="B36" s="40">
        <f>'World 1995'!$J$25/'World 1995'!$L$25</f>
        <v>0.15198541488580478</v>
      </c>
      <c r="C36" s="40">
        <f>'World 2000'!$J$25/'World 2000'!$L$25</f>
        <v>0.16975756520929386</v>
      </c>
      <c r="D36" s="40">
        <f>'World 2005'!$J$25/'World 2005'!$L$25</f>
        <v>0.19100391099933647</v>
      </c>
      <c r="E36" s="40">
        <f>'World 2010'!$J$25/'World 2010'!$L$25</f>
        <v>0.21521480974569021</v>
      </c>
      <c r="F36" s="40">
        <f>'World 2015'!$J$25/'World 2015'!$L$25</f>
        <v>0.23654306265047564</v>
      </c>
      <c r="G36" s="40">
        <f>'World 2018'!$J$25/'World 2018'!$L$25</f>
        <v>0.24492403535929413</v>
      </c>
      <c r="H36" s="89">
        <f>1-H37-H35-H34-H33-H32-H31</f>
        <v>0.24492450947157804</v>
      </c>
      <c r="I36" s="89">
        <f>1-I37-I35-I34-I33-I32-I31</f>
        <v>0.24492450947157804</v>
      </c>
    </row>
    <row r="37" spans="1:9" x14ac:dyDescent="0.35">
      <c r="A37" s="30" t="s">
        <v>148</v>
      </c>
      <c r="B37" s="40">
        <f>'World 1995'!$K$25/'World 1995'!$L$25</f>
        <v>6.8356719090607934E-2</v>
      </c>
      <c r="C37" s="40">
        <f>'World 2000'!$K$25/'World 2000'!$L$25</f>
        <v>6.0859236168002685E-2</v>
      </c>
      <c r="D37" s="40">
        <f>'World 2005'!$K$25/'World 2005'!$L$25</f>
        <v>5.3074384877961116E-2</v>
      </c>
      <c r="E37" s="40">
        <f>'World 2010'!$K$25/'World 2010'!$L$25</f>
        <v>5.3258627109603794E-2</v>
      </c>
      <c r="F37" s="40">
        <f>'World 2015'!$K$25/'World 2015'!$L$25</f>
        <v>5.1421141372563269E-2</v>
      </c>
      <c r="G37" s="40">
        <f>'World 2018'!$K$25/'World 2018'!$L$25</f>
        <v>5.1762156831602429E-2</v>
      </c>
      <c r="H37" s="88">
        <f t="shared" si="0"/>
        <v>5.1762156831602429E-2</v>
      </c>
      <c r="I37" s="88">
        <f t="shared" si="0"/>
        <v>5.1762156831602429E-2</v>
      </c>
    </row>
    <row r="38" spans="1:9" x14ac:dyDescent="0.35">
      <c r="A38" s="31" t="s">
        <v>151</v>
      </c>
      <c r="B38" s="81"/>
      <c r="C38" s="81"/>
      <c r="D38" s="81"/>
      <c r="E38" s="81"/>
      <c r="F38" s="81"/>
      <c r="G38" s="81"/>
      <c r="H38" s="42"/>
      <c r="I38" s="42"/>
    </row>
    <row r="39" spans="1:9" x14ac:dyDescent="0.35">
      <c r="A39" s="30" t="s">
        <v>141</v>
      </c>
      <c r="B39" s="40">
        <f>'World 1995'!$B$26/'World 1995'!$L$26</f>
        <v>4.1777388813748109E-2</v>
      </c>
      <c r="C39" s="40">
        <f>'World 2000'!$B$26/'World 2000'!$L$26</f>
        <v>2.7877326789224562E-2</v>
      </c>
      <c r="D39" s="40">
        <f>'World 2005'!$B$26/'World 2005'!$L$26</f>
        <v>3.9357584657697911E-2</v>
      </c>
      <c r="E39" s="40">
        <f>'World 2010'!$B$26/'World 2010'!$L$26</f>
        <v>4.529271876193583E-2</v>
      </c>
      <c r="F39" s="40">
        <f>'World 2015'!$B$26/'World 2015'!$L$26</f>
        <v>4.568682625133666E-2</v>
      </c>
      <c r="G39" s="40">
        <f>'World 2018'!$B$26/'World 2018'!$L$26</f>
        <v>3.742800997750486E-2</v>
      </c>
      <c r="H39" s="77">
        <f t="shared" si="0"/>
        <v>3.742800997750486E-2</v>
      </c>
      <c r="I39" s="77">
        <f t="shared" si="0"/>
        <v>3.742800997750486E-2</v>
      </c>
    </row>
    <row r="40" spans="1:9" x14ac:dyDescent="0.35">
      <c r="A40" s="30" t="s">
        <v>143</v>
      </c>
      <c r="B40" s="40">
        <f>'World 1995'!$D$26/'World 1995'!$L$26</f>
        <v>0.20418887739676983</v>
      </c>
      <c r="C40" s="40">
        <f>'World 2000'!$D$26/'World 2000'!$L$26</f>
        <v>0.1770927364356589</v>
      </c>
      <c r="D40" s="40">
        <f>'World 2005'!$D$26/'World 2005'!$L$26</f>
        <v>0.15314922902691872</v>
      </c>
      <c r="E40" s="40">
        <f>'World 2010'!$D$26/'World 2010'!$L$26</f>
        <v>0.12154819356043815</v>
      </c>
      <c r="F40" s="40">
        <f>'World 2015'!$D$26/'World 2015'!$L$26</f>
        <v>0.10808747993368592</v>
      </c>
      <c r="G40" s="40">
        <f>'World 2018'!$D$26/'World 2018'!$L$26</f>
        <v>9.7920034033333381E-2</v>
      </c>
      <c r="H40" s="77">
        <f t="shared" si="0"/>
        <v>9.7920034033333381E-2</v>
      </c>
      <c r="I40" s="77">
        <f t="shared" si="0"/>
        <v>9.7920034033333381E-2</v>
      </c>
    </row>
    <row r="41" spans="1:9" x14ac:dyDescent="0.35">
      <c r="A41" s="30" t="s">
        <v>144</v>
      </c>
      <c r="B41" s="40">
        <f>'World 1995'!$E$26/'World 1995'!$L$26</f>
        <v>0.27233670140822658</v>
      </c>
      <c r="C41" s="40">
        <f>'World 2000'!$E$26/'World 2000'!$L$26</f>
        <v>0.25787067817651438</v>
      </c>
      <c r="D41" s="40">
        <f>'World 2005'!$E$26/'World 2005'!$L$26</f>
        <v>0.24546998867497169</v>
      </c>
      <c r="E41" s="40">
        <f>'World 2010'!$E$26/'World 2010'!$L$26</f>
        <v>0.24452938339341324</v>
      </c>
      <c r="F41" s="40">
        <f>'World 2015'!$E$26/'World 2015'!$L$26</f>
        <v>0.24365168819772315</v>
      </c>
      <c r="G41" s="40">
        <f>'World 2018'!$E$26/'World 2018'!$L$26</f>
        <v>0.2562121345157608</v>
      </c>
      <c r="H41" s="77">
        <f t="shared" si="0"/>
        <v>0.2562121345157608</v>
      </c>
      <c r="I41" s="77">
        <f t="shared" si="0"/>
        <v>0.2562121345157608</v>
      </c>
    </row>
    <row r="42" spans="1:9" x14ac:dyDescent="0.35">
      <c r="A42" s="30" t="s">
        <v>145</v>
      </c>
      <c r="B42" s="40">
        <f>'World 1995'!$H$26/'World 1995'!$L$26</f>
        <v>1.3545230328586204E-3</v>
      </c>
      <c r="C42" s="40">
        <f>'World 2000'!$H$26/'World 2000'!$L$26</f>
        <v>2.3567440175999051E-3</v>
      </c>
      <c r="D42" s="40">
        <f>'World 2005'!$H$26/'World 2005'!$L$26</f>
        <v>3.0194890047664678E-3</v>
      </c>
      <c r="E42" s="40">
        <f>'World 2010'!$H$26/'World 2010'!$L$26</f>
        <v>6.2658737792349361E-3</v>
      </c>
      <c r="F42" s="40">
        <f>'World 2015'!$H$26/'World 2015'!$L$26</f>
        <v>1.0088988027208739E-2</v>
      </c>
      <c r="G42" s="40">
        <f>'World 2018'!$H$26/'World 2018'!$L$26</f>
        <v>1.0689830439304543E-2</v>
      </c>
      <c r="H42" s="77">
        <f t="shared" si="0"/>
        <v>1.0689830439304543E-2</v>
      </c>
      <c r="I42" s="77">
        <f t="shared" si="0"/>
        <v>1.0689830439304543E-2</v>
      </c>
    </row>
    <row r="43" spans="1:9" x14ac:dyDescent="0.35">
      <c r="A43" s="30" t="s">
        <v>146</v>
      </c>
      <c r="B43" s="40">
        <f>'World 1995'!$I$26/'World 1995'!$L$26</f>
        <v>2.735500039780412E-2</v>
      </c>
      <c r="C43" s="40">
        <f>'World 2000'!$I$26/'World 2000'!$L$26</f>
        <v>2.8066514955775015E-2</v>
      </c>
      <c r="D43" s="40">
        <f>'World 2005'!$I$26/'World 2005'!$L$26</f>
        <v>3.2467673888964939E-2</v>
      </c>
      <c r="E43" s="40">
        <f>'World 2010'!$I$26/'World 2010'!$L$26</f>
        <v>3.3754868423620465E-2</v>
      </c>
      <c r="F43" s="40">
        <f>'World 2015'!$I$26/'World 2015'!$L$26</f>
        <v>3.8616652610394285E-2</v>
      </c>
      <c r="G43" s="40">
        <f>'World 2018'!$I$26/'World 2018'!$L$26</f>
        <v>3.8118075385317439E-2</v>
      </c>
      <c r="H43" s="77">
        <f t="shared" si="0"/>
        <v>3.8118075385317439E-2</v>
      </c>
      <c r="I43" s="77">
        <f t="shared" si="0"/>
        <v>3.8118075385317439E-2</v>
      </c>
    </row>
    <row r="44" spans="1:9" x14ac:dyDescent="0.35">
      <c r="A44" s="30" t="s">
        <v>147</v>
      </c>
      <c r="B44" s="40">
        <f>'World 1995'!$J$26/'World 1995'!$L$26</f>
        <v>0.40625348078606094</v>
      </c>
      <c r="C44" s="40">
        <f>'World 2000'!$J$26/'World 2000'!$L$26</f>
        <v>0.46386596108489503</v>
      </c>
      <c r="D44" s="40">
        <f>'World 2005'!$J$26/'World 2005'!$L$26</f>
        <v>0.47731571938819956</v>
      </c>
      <c r="E44" s="40">
        <f>'World 2010'!$J$26/'World 2010'!$L$26</f>
        <v>0.49875797696611829</v>
      </c>
      <c r="F44" s="40">
        <f>'World 2015'!$J$26/'World 2015'!$L$26</f>
        <v>0.50865183270145786</v>
      </c>
      <c r="G44" s="40">
        <f>'World 2018'!$J$26/'World 2018'!$L$26</f>
        <v>0.51028605560838913</v>
      </c>
      <c r="H44" s="89">
        <f>1-H45-H43-H42-H41-H40-H39</f>
        <v>0.51028729228474734</v>
      </c>
      <c r="I44" s="89">
        <f>1-I45-I43-I42-I41-I40-I39</f>
        <v>0.51028729228474734</v>
      </c>
    </row>
    <row r="45" spans="1:9" x14ac:dyDescent="0.35">
      <c r="A45" s="30" t="s">
        <v>148</v>
      </c>
      <c r="B45" s="40">
        <f>'World 1995'!$K$26/'World 1995'!$L$26</f>
        <v>4.672408306150052E-2</v>
      </c>
      <c r="C45" s="40">
        <f>'World 2000'!$K$26/'World 2000'!$L$26</f>
        <v>4.2870038540332216E-2</v>
      </c>
      <c r="D45" s="40">
        <f>'World 2005'!$K$26/'World 2005'!$L$26</f>
        <v>4.9172090650006842E-2</v>
      </c>
      <c r="E45" s="40">
        <f>'World 2010'!$K$26/'World 2010'!$L$26</f>
        <v>4.9687891181497065E-2</v>
      </c>
      <c r="F45" s="40">
        <f>'World 2015'!$K$26/'World 2015'!$L$26</f>
        <v>4.5217845948509382E-2</v>
      </c>
      <c r="G45" s="40">
        <f>'World 2018'!$K$26/'World 2018'!$L$26</f>
        <v>4.934462336403176E-2</v>
      </c>
      <c r="H45" s="77">
        <f t="shared" si="0"/>
        <v>4.934462336403176E-2</v>
      </c>
      <c r="I45" s="77">
        <f t="shared" si="0"/>
        <v>4.934462336403176E-2</v>
      </c>
    </row>
    <row r="46" spans="1:9" x14ac:dyDescent="0.35">
      <c r="A46" s="31" t="s">
        <v>152</v>
      </c>
      <c r="B46" s="81"/>
      <c r="C46" s="81"/>
      <c r="D46" s="81"/>
      <c r="E46" s="81"/>
      <c r="F46" s="81"/>
      <c r="G46" s="81"/>
      <c r="H46" s="42"/>
      <c r="I46" s="42"/>
    </row>
    <row r="47" spans="1:9" x14ac:dyDescent="0.35">
      <c r="A47" s="30" t="s">
        <v>141</v>
      </c>
      <c r="B47" s="40">
        <f>'World 1995'!$B$27/'World 1995'!$L$27</f>
        <v>7.3296748037411041E-2</v>
      </c>
      <c r="C47" s="40">
        <f>'World 2000'!$B$27/'World 2000'!$L$27</f>
        <v>5.1630762631205009E-2</v>
      </c>
      <c r="D47" s="40">
        <f>'World 2005'!$B$27/'World 2005'!$L$27</f>
        <v>7.0910394265232976E-2</v>
      </c>
      <c r="E47" s="40">
        <f>'World 2010'!$B$27/'World 2010'!$L$27</f>
        <v>7.208286821196401E-2</v>
      </c>
      <c r="F47" s="40">
        <f>'World 2015'!$B$27/'World 2015'!$L$27</f>
        <v>7.757638948641768E-2</v>
      </c>
      <c r="G47" s="40">
        <f>'World 2018'!$B$27/'World 2018'!$L$27</f>
        <v>7.2657752690726024E-2</v>
      </c>
      <c r="H47" s="77">
        <f t="shared" si="0"/>
        <v>7.2657752690726024E-2</v>
      </c>
      <c r="I47" s="77">
        <f t="shared" si="0"/>
        <v>7.2657752690726024E-2</v>
      </c>
    </row>
    <row r="48" spans="1:9" x14ac:dyDescent="0.35">
      <c r="A48" s="30" t="s">
        <v>143</v>
      </c>
      <c r="B48" s="40">
        <f>'World 1995'!$D$27/'World 1995'!$L$27</f>
        <v>0.62471973254887114</v>
      </c>
      <c r="C48" s="40">
        <f>'World 2000'!$D$27/'World 2000'!$L$27</f>
        <v>0.64255264957035807</v>
      </c>
      <c r="D48" s="40">
        <f>'World 2005'!$D$27/'World 2005'!$L$27</f>
        <v>0.61469820788530471</v>
      </c>
      <c r="E48" s="40">
        <f>'World 2010'!$D$27/'World 2010'!$L$27</f>
        <v>0.57567251077987169</v>
      </c>
      <c r="F48" s="40">
        <f>'World 2015'!$D$27/'World 2015'!$L$27</f>
        <v>0.54125816786706682</v>
      </c>
      <c r="G48" s="40">
        <f>'World 2018'!$D$27/'World 2018'!$L$27</f>
        <v>0.51724346704297242</v>
      </c>
      <c r="H48" s="77">
        <f t="shared" si="0"/>
        <v>0.51724346704297242</v>
      </c>
      <c r="I48" s="77">
        <f t="shared" si="0"/>
        <v>0.51724346704297242</v>
      </c>
    </row>
    <row r="49" spans="1:9" x14ac:dyDescent="0.35">
      <c r="A49" s="30" t="s">
        <v>144</v>
      </c>
      <c r="B49" s="40">
        <f>'World 1995'!$E$27/'World 1995'!$L$27</f>
        <v>3.6539420943074885E-2</v>
      </c>
      <c r="C49" s="40">
        <f>'World 2000'!$E$27/'World 2000'!$L$27</f>
        <v>3.9150367977264504E-2</v>
      </c>
      <c r="D49" s="40">
        <f>'World 2005'!$E$27/'World 2005'!$L$27</f>
        <v>4.4903225806451612E-2</v>
      </c>
      <c r="E49" s="40">
        <f>'World 2010'!$E$27/'World 2010'!$L$27</f>
        <v>4.52262131459715E-2</v>
      </c>
      <c r="F49" s="40">
        <f>'World 2015'!$E$27/'World 2015'!$L$27</f>
        <v>4.6711848278864015E-2</v>
      </c>
      <c r="G49" s="40">
        <f>'World 2018'!$E$27/'World 2018'!$L$27</f>
        <v>4.8193219975875445E-2</v>
      </c>
      <c r="H49" s="77">
        <f t="shared" si="0"/>
        <v>4.8193219975875445E-2</v>
      </c>
      <c r="I49" s="77">
        <f t="shared" si="0"/>
        <v>4.8193219975875445E-2</v>
      </c>
    </row>
    <row r="50" spans="1:9" x14ac:dyDescent="0.35">
      <c r="A50" s="30" t="s">
        <v>145</v>
      </c>
      <c r="B50" s="40">
        <f>'World 1995'!$H$27/'World 1995'!$L$27</f>
        <v>1.4221243555999014E-3</v>
      </c>
      <c r="C50" s="40">
        <f>'World 2000'!$H$27/'World 2000'!$L$27</f>
        <v>2.4330737161011836E-3</v>
      </c>
      <c r="D50" s="40">
        <f>'World 2005'!$H$27/'World 2005'!$L$27</f>
        <v>2.2021505376344087E-3</v>
      </c>
      <c r="E50" s="40">
        <f>'World 2010'!$H$27/'World 2010'!$L$27</f>
        <v>3.0862170858231008E-3</v>
      </c>
      <c r="F50" s="40">
        <f>'World 2015'!$H$27/'World 2015'!$L$27</f>
        <v>9.5053473905847459E-3</v>
      </c>
      <c r="G50" s="40">
        <f>'World 2018'!$H$27/'World 2018'!$L$27</f>
        <v>1.0930565064107042E-2</v>
      </c>
      <c r="H50" s="77">
        <f t="shared" si="0"/>
        <v>1.0930565064107042E-2</v>
      </c>
      <c r="I50" s="77">
        <f t="shared" si="0"/>
        <v>1.0930565064107042E-2</v>
      </c>
    </row>
    <row r="51" spans="1:9" x14ac:dyDescent="0.35">
      <c r="A51" s="30" t="s">
        <v>146</v>
      </c>
      <c r="B51" s="40">
        <f>'World 1995'!$I$27/'World 1995'!$L$27</f>
        <v>3.4624140560936309E-2</v>
      </c>
      <c r="C51" s="40">
        <f>'World 2000'!$I$27/'World 2000'!$L$27</f>
        <v>3.84264782766063E-2</v>
      </c>
      <c r="D51" s="40">
        <f>'World 2005'!$I$27/'World 2005'!$L$27</f>
        <v>4.2815770609318994E-2</v>
      </c>
      <c r="E51" s="40">
        <f>'World 2010'!$I$27/'World 2010'!$L$27</f>
        <v>5.3904830695821568E-2</v>
      </c>
      <c r="F51" s="40">
        <f>'World 2015'!$I$27/'World 2015'!$L$27</f>
        <v>5.662210929631073E-2</v>
      </c>
      <c r="G51" s="40">
        <f>'World 2018'!$I$27/'World 2018'!$L$27</f>
        <v>5.5910282741629756E-2</v>
      </c>
      <c r="H51" s="77">
        <f t="shared" si="0"/>
        <v>5.5910282741629756E-2</v>
      </c>
      <c r="I51" s="77">
        <f t="shared" si="0"/>
        <v>5.5910282741629756E-2</v>
      </c>
    </row>
    <row r="52" spans="1:9" x14ac:dyDescent="0.35">
      <c r="A52" s="30" t="s">
        <v>147</v>
      </c>
      <c r="B52" s="40">
        <f>'World 1995'!$J$27/'World 1995'!$L$27</f>
        <v>0.17809240367687959</v>
      </c>
      <c r="C52" s="40">
        <f>'World 2000'!$J$27/'World 2000'!$L$27</f>
        <v>0.19134147485823827</v>
      </c>
      <c r="D52" s="40">
        <f>'World 2005'!$J$27/'World 2005'!$L$27</f>
        <v>0.20258064516129032</v>
      </c>
      <c r="E52" s="40">
        <f>'World 2010'!$J$27/'World 2010'!$L$27</f>
        <v>0.22751548580559022</v>
      </c>
      <c r="F52" s="40">
        <f>'World 2015'!$J$27/'World 2015'!$L$27</f>
        <v>0.25272684020589858</v>
      </c>
      <c r="G52" s="40">
        <f>'World 2018'!$J$27/'World 2018'!$L$27</f>
        <v>0.27418626204481206</v>
      </c>
      <c r="H52" s="89">
        <f>1-H53-H51-H50-H49-H48-H47</f>
        <v>0.27419091929451977</v>
      </c>
      <c r="I52" s="89">
        <f>1-I53-I51-I50-I49-I48-I47</f>
        <v>0.27419091929451977</v>
      </c>
    </row>
    <row r="53" spans="1:9" x14ac:dyDescent="0.35">
      <c r="A53" s="30" t="s">
        <v>148</v>
      </c>
      <c r="B53" s="40">
        <f>'World 1995'!$K$27/'World 1995'!$L$27</f>
        <v>5.1282492387620636E-2</v>
      </c>
      <c r="C53" s="40">
        <f>'World 2000'!$K$27/'World 2000'!$L$27</f>
        <v>3.4458490287813184E-2</v>
      </c>
      <c r="D53" s="40">
        <f>'World 2005'!$K$27/'World 2005'!$L$27</f>
        <v>2.1837992831541218E-2</v>
      </c>
      <c r="E53" s="40">
        <f>'World 2010'!$K$27/'World 2010'!$L$27</f>
        <v>2.19920327445444E-2</v>
      </c>
      <c r="F53" s="40">
        <f>'World 2015'!$K$27/'World 2015'!$L$27</f>
        <v>1.5558806112171197E-2</v>
      </c>
      <c r="G53" s="40">
        <f>'World 2018'!$K$27/'World 2018'!$L$27</f>
        <v>2.0873793190169479E-2</v>
      </c>
      <c r="H53" s="77">
        <f t="shared" si="0"/>
        <v>2.0873793190169479E-2</v>
      </c>
      <c r="I53" s="77">
        <f t="shared" si="0"/>
        <v>2.0873793190169479E-2</v>
      </c>
    </row>
    <row r="54" spans="1:9" x14ac:dyDescent="0.35">
      <c r="A54" s="31" t="s">
        <v>153</v>
      </c>
      <c r="B54" s="81"/>
      <c r="C54" s="81"/>
      <c r="D54" s="81"/>
      <c r="E54" s="81"/>
      <c r="F54" s="81"/>
      <c r="G54" s="81"/>
      <c r="H54" s="42"/>
      <c r="I54" s="42"/>
    </row>
    <row r="55" spans="1:9" x14ac:dyDescent="0.35">
      <c r="A55" s="30" t="s">
        <v>141</v>
      </c>
      <c r="B55" s="40">
        <f>'World 1995'!$B$28/IF('World 1995'!$L$28=0,1,'World 1995'!$L$28)</f>
        <v>5.1256613756613754E-3</v>
      </c>
      <c r="C55" s="40">
        <f>'World 2000'!$B$28/IF('World 2000'!$L$28=0,1,'World 2000'!$L$28)</f>
        <v>1.4589074404279462E-3</v>
      </c>
      <c r="D55" s="40">
        <f>'World 2005'!$B$28/IF('World 2005'!$L$28=0,1,'World 2005'!$L$28)</f>
        <v>1.4899428855227217E-3</v>
      </c>
      <c r="E55" s="40">
        <f>'World 2010'!$B$28/IF('World 2010'!$L$28=0,1,'World 2010'!$L$28)</f>
        <v>1.3696924417880712E-3</v>
      </c>
      <c r="F55" s="40">
        <f>'World 2015'!$B$28/IF('World 2015'!$L$28=0,1,'World 2015'!$L$28)</f>
        <v>1.3941168269901018E-4</v>
      </c>
      <c r="G55" s="40">
        <f>'World 2018'!$B$28/IF('World 2018'!$L$28=0,1,'World 2018'!$L$28)</f>
        <v>2.8551034975017847E-4</v>
      </c>
      <c r="H55" s="77">
        <f t="shared" si="0"/>
        <v>2.8551034975017847E-4</v>
      </c>
      <c r="I55" s="77">
        <f t="shared" si="0"/>
        <v>2.8551034975017847E-4</v>
      </c>
    </row>
    <row r="56" spans="1:9" x14ac:dyDescent="0.35">
      <c r="A56" s="30" t="s">
        <v>143</v>
      </c>
      <c r="B56" s="40">
        <f>'World 1995'!$D$28/IF('World 1995'!$L$28=0,1,'World 1995'!$L$28)</f>
        <v>0.95998677248677244</v>
      </c>
      <c r="C56" s="40">
        <f>'World 2000'!$D$28/IF('World 2000'!$L$28=0,1,'World 2000'!$L$28)</f>
        <v>0.96336521316258716</v>
      </c>
      <c r="D56" s="40">
        <f>'World 2005'!$D$28/IF('World 2005'!$L$28=0,1,'World 2005'!$L$28)</f>
        <v>0.93779488452942639</v>
      </c>
      <c r="E56" s="40">
        <f>'World 2010'!$D$28/IF('World 2010'!$L$28=0,1,'World 2010'!$L$28)</f>
        <v>0.92018428589216783</v>
      </c>
      <c r="F56" s="40">
        <f>'World 2015'!$D$28/IF('World 2015'!$L$28=0,1,'World 2015'!$L$28)</f>
        <v>0.88707653701380174</v>
      </c>
      <c r="G56" s="40">
        <f>'World 2018'!$D$28/IF('World 2018'!$L$28=0,1,'World 2018'!$L$28)</f>
        <v>0.87808708065667385</v>
      </c>
      <c r="H56" s="77">
        <f t="shared" si="0"/>
        <v>0.87808708065667385</v>
      </c>
      <c r="I56" s="77">
        <f t="shared" si="0"/>
        <v>0.87808708065667385</v>
      </c>
    </row>
    <row r="57" spans="1:9" x14ac:dyDescent="0.35">
      <c r="A57" s="30" t="s">
        <v>144</v>
      </c>
      <c r="B57" s="40">
        <f>'World 1995'!$E$28/IF('World 1995'!$L$28=0,1,'World 1995'!$L$28)</f>
        <v>3.3068783068783067E-4</v>
      </c>
      <c r="C57" s="40">
        <f>'World 2000'!$E$28/IF('World 2000'!$L$28=0,1,'World 2000'!$L$28)</f>
        <v>1.6210082671421625E-4</v>
      </c>
      <c r="D57" s="40">
        <f>'World 2005'!$E$28/IF('World 2005'!$L$28=0,1,'World 2005'!$L$28)</f>
        <v>3.2282095852992302E-3</v>
      </c>
      <c r="E57" s="40">
        <f>'World 2010'!$E$28/IF('World 2010'!$L$28=0,1,'World 2010'!$L$28)</f>
        <v>2.1167974100361102E-3</v>
      </c>
      <c r="F57" s="40">
        <f>'World 2015'!$E$28/IF('World 2015'!$L$28=0,1,'World 2015'!$L$28)</f>
        <v>1.3522933221803988E-2</v>
      </c>
      <c r="G57" s="40">
        <f>'World 2018'!$E$28/IF('World 2018'!$L$28=0,1,'World 2018'!$L$28)</f>
        <v>7.1377587437544609E-3</v>
      </c>
      <c r="H57" s="77">
        <f t="shared" si="0"/>
        <v>7.1377587437544609E-3</v>
      </c>
      <c r="I57" s="77">
        <f t="shared" si="0"/>
        <v>7.1377587437544609E-3</v>
      </c>
    </row>
    <row r="58" spans="1:9" x14ac:dyDescent="0.35">
      <c r="A58" s="30" t="s">
        <v>145</v>
      </c>
      <c r="B58" s="40">
        <f>'World 1995'!$H$28/IF('World 1995'!$L$28=0,1,'World 1995'!$L$28)</f>
        <v>1.8187830687830687E-3</v>
      </c>
      <c r="C58" s="40">
        <f>'World 2000'!$H$28/IF('World 2000'!$L$28=0,1,'World 2000'!$L$28)</f>
        <v>1.0860755389852489E-2</v>
      </c>
      <c r="D58" s="40">
        <f>'World 2005'!$H$28/IF('World 2005'!$L$28=0,1,'World 2005'!$L$28)</f>
        <v>1.0553762105785945E-2</v>
      </c>
      <c r="E58" s="40">
        <f>'World 2010'!$H$28/IF('World 2010'!$L$28=0,1,'World 2010'!$L$28)</f>
        <v>7.3465321877723821E-3</v>
      </c>
      <c r="F58" s="40">
        <f>'World 2015'!$H$28/IF('World 2015'!$L$28=0,1,'World 2015'!$L$28)</f>
        <v>5.9947023560574372E-3</v>
      </c>
      <c r="G58" s="40">
        <f>'World 2018'!$H$28/IF('World 2018'!$L$28=0,1,'World 2018'!$L$28)</f>
        <v>8.2798001427551744E-3</v>
      </c>
      <c r="H58" s="77">
        <f t="shared" si="0"/>
        <v>8.2798001427551744E-3</v>
      </c>
      <c r="I58" s="77">
        <f t="shared" si="0"/>
        <v>8.2798001427551744E-3</v>
      </c>
    </row>
    <row r="59" spans="1:9" x14ac:dyDescent="0.35">
      <c r="A59" s="30" t="s">
        <v>146</v>
      </c>
      <c r="B59" s="40">
        <f>'World 1995'!$I$28/IF('World 1995'!$L$28=0,1,'World 1995'!$L$28)</f>
        <v>0</v>
      </c>
      <c r="C59" s="40">
        <f>'World 2000'!$I$28/IF('World 2000'!$L$28=0,1,'World 2000'!$L$28)</f>
        <v>1.6210082671421625E-4</v>
      </c>
      <c r="D59" s="40">
        <f>'World 2005'!$I$28/IF('World 2005'!$L$28=0,1,'World 2005'!$L$28)</f>
        <v>1.2416190712689348E-4</v>
      </c>
      <c r="E59" s="40">
        <f>'World 2010'!$I$28/IF('World 2010'!$L$28=0,1,'World 2010'!$L$28)</f>
        <v>1.1206574523720584E-3</v>
      </c>
      <c r="F59" s="40">
        <f>'World 2015'!$I$28/IF('World 2015'!$L$28=0,1,'World 2015'!$L$28)</f>
        <v>3.0670570193782241E-3</v>
      </c>
      <c r="G59" s="40">
        <f>'World 2018'!$I$28/IF('World 2018'!$L$28=0,1,'World 2018'!$L$28)</f>
        <v>3.4261241970021412E-3</v>
      </c>
      <c r="H59" s="77">
        <f t="shared" si="0"/>
        <v>3.4261241970021412E-3</v>
      </c>
      <c r="I59" s="77">
        <f t="shared" si="0"/>
        <v>3.4261241970021412E-3</v>
      </c>
    </row>
    <row r="60" spans="1:9" x14ac:dyDescent="0.35">
      <c r="A60" s="30" t="s">
        <v>147</v>
      </c>
      <c r="B60" s="40">
        <f>'World 1995'!$J$28/IF('World 1995'!$L$28=0,1,'World 1995'!$L$28)</f>
        <v>3.2076719576719578E-2</v>
      </c>
      <c r="C60" s="40">
        <f>'World 2000'!$J$28/IF('World 2000'!$L$28=0,1,'World 2000'!$L$28)</f>
        <v>2.334251904684714E-2</v>
      </c>
      <c r="D60" s="40">
        <f>'World 2005'!$J$28/IF('World 2005'!$L$28=0,1,'World 2005'!$L$28)</f>
        <v>4.4822448472808543E-2</v>
      </c>
      <c r="E60" s="40">
        <f>'World 2010'!$J$28/IF('World 2010'!$L$28=0,1,'World 2010'!$L$28)</f>
        <v>6.2881334827543267E-2</v>
      </c>
      <c r="F60" s="40">
        <f>'World 2015'!$J$28/IF('World 2015'!$L$28=0,1,'World 2015'!$L$28)</f>
        <v>8.5877596542590265E-2</v>
      </c>
      <c r="G60" s="40">
        <f>'World 2018'!$J$28/IF('World 2018'!$L$28=0,1,'World 2018'!$L$28)</f>
        <v>9.4932191291934337E-2</v>
      </c>
      <c r="H60" s="89">
        <f>1-H61-H59-H58-H57-H56-H55</f>
        <v>9.493219129193424E-2</v>
      </c>
      <c r="I60" s="89">
        <f>1-I61-I59-I58-I57-I56-I55</f>
        <v>9.493219129193424E-2</v>
      </c>
    </row>
    <row r="61" spans="1:9" x14ac:dyDescent="0.35">
      <c r="A61" s="30" t="s">
        <v>148</v>
      </c>
      <c r="B61" s="40">
        <f>'World 1995'!$K$28/IF('World 1995'!$L$28=0,1,'World 1995'!$L$28)</f>
        <v>4.96031746031746E-4</v>
      </c>
      <c r="C61" s="40">
        <f>'World 2000'!$K$28/IF('World 2000'!$L$28=0,1,'World 2000'!$L$28)</f>
        <v>6.4840330685686498E-4</v>
      </c>
      <c r="D61" s="40">
        <f>'World 2005'!$K$28/IF('World 2005'!$L$28=0,1,'World 2005'!$L$28)</f>
        <v>1.9865905140302956E-3</v>
      </c>
      <c r="E61" s="40">
        <f>'World 2010'!$K$28/IF('World 2010'!$L$28=0,1,'World 2010'!$L$28)</f>
        <v>4.8561822936122523E-3</v>
      </c>
      <c r="F61" s="40">
        <f>'World 2015'!$K$28/IF('World 2015'!$L$28=0,1,'World 2015'!$L$28)</f>
        <v>4.3217621636693158E-3</v>
      </c>
      <c r="G61" s="40">
        <f>'World 2018'!$K$28/IF('World 2018'!$L$28=0,1,'World 2018'!$L$28)</f>
        <v>7.8515346181299069E-3</v>
      </c>
      <c r="H61" s="77">
        <f t="shared" si="0"/>
        <v>7.8515346181299069E-3</v>
      </c>
      <c r="I61" s="77">
        <f t="shared" si="0"/>
        <v>7.8515346181299069E-3</v>
      </c>
    </row>
    <row r="62" spans="1:9" x14ac:dyDescent="0.35">
      <c r="A62" s="31" t="s">
        <v>154</v>
      </c>
      <c r="B62" s="81"/>
      <c r="C62" s="81"/>
      <c r="D62" s="81"/>
      <c r="E62" s="81"/>
      <c r="F62" s="81"/>
      <c r="G62" s="81"/>
      <c r="H62" s="42"/>
      <c r="I62" s="42"/>
    </row>
    <row r="63" spans="1:9" x14ac:dyDescent="0.35">
      <c r="A63" s="30" t="s">
        <v>141</v>
      </c>
      <c r="B63" s="40">
        <f>'World 1995'!$B$29/'World 1995'!$L$29</f>
        <v>0.28123832701341334</v>
      </c>
      <c r="C63" s="40">
        <f>'World 2000'!$B$29/'World 2000'!$L$29</f>
        <v>0.24765449329301387</v>
      </c>
      <c r="D63" s="40">
        <f>'World 2005'!$B$29/'World 2005'!$L$29</f>
        <v>0.26754182390571712</v>
      </c>
      <c r="E63" s="40">
        <f>'World 2010'!$B$29/'World 2010'!$L$29</f>
        <v>0.29823677120181824</v>
      </c>
      <c r="F63" s="40">
        <f>'World 2015'!$B$29/'World 2015'!$L$29</f>
        <v>0.21976476133660341</v>
      </c>
      <c r="G63" s="40">
        <f>'World 2018'!$B$29/'World 2018'!$L$29</f>
        <v>0.16803921179528902</v>
      </c>
      <c r="H63" s="77">
        <f t="shared" si="0"/>
        <v>0.16803921179528902</v>
      </c>
      <c r="I63" s="77">
        <f t="shared" si="0"/>
        <v>0.16803921179528902</v>
      </c>
    </row>
    <row r="64" spans="1:9" x14ac:dyDescent="0.35">
      <c r="A64" s="30" t="s">
        <v>143</v>
      </c>
      <c r="B64" s="40">
        <f>'World 1995'!$D$29/'World 1995'!$L$29</f>
        <v>0.20811590921953704</v>
      </c>
      <c r="C64" s="40">
        <f>'World 2000'!$D$29/'World 2000'!$L$29</f>
        <v>0.20245018221291775</v>
      </c>
      <c r="D64" s="40">
        <f>'World 2005'!$D$29/'World 2005'!$L$29</f>
        <v>0.19832300768873731</v>
      </c>
      <c r="E64" s="40">
        <f>'World 2010'!$D$29/'World 2010'!$L$29</f>
        <v>0.19039021976209242</v>
      </c>
      <c r="F64" s="40">
        <f>'World 2015'!$D$29/'World 2015'!$L$29</f>
        <v>0.17270966363964441</v>
      </c>
      <c r="G64" s="40">
        <f>'World 2018'!$D$29/'World 2018'!$L$29</f>
        <v>0.14093888701473087</v>
      </c>
      <c r="H64" s="77">
        <f t="shared" si="0"/>
        <v>0.14093888701473087</v>
      </c>
      <c r="I64" s="77">
        <f t="shared" si="0"/>
        <v>0.14093888701473087</v>
      </c>
    </row>
    <row r="65" spans="1:9" x14ac:dyDescent="0.35">
      <c r="A65" s="30" t="s">
        <v>144</v>
      </c>
      <c r="B65" s="40">
        <f>'World 1995'!$E$29/'World 1995'!$L$29</f>
        <v>0.17042277435055747</v>
      </c>
      <c r="C65" s="40">
        <f>'World 2000'!$E$29/'World 2000'!$L$29</f>
        <v>0.16642113152929622</v>
      </c>
      <c r="D65" s="40">
        <f>'World 2005'!$E$29/'World 2005'!$L$29</f>
        <v>5.5425504005811956E-2</v>
      </c>
      <c r="E65" s="40">
        <f>'World 2010'!$E$29/'World 2010'!$L$29</f>
        <v>3.1516340108872963E-2</v>
      </c>
      <c r="F65" s="40">
        <f>'World 2015'!$E$29/'World 2015'!$L$29</f>
        <v>2.5924862090044704E-2</v>
      </c>
      <c r="G65" s="40">
        <f>'World 2018'!$E$29/'World 2018'!$L$29</f>
        <v>2.374668439399652E-2</v>
      </c>
      <c r="H65" s="77">
        <f t="shared" si="0"/>
        <v>2.374668439399652E-2</v>
      </c>
      <c r="I65" s="77">
        <f t="shared" si="0"/>
        <v>2.374668439399652E-2</v>
      </c>
    </row>
    <row r="66" spans="1:9" x14ac:dyDescent="0.35">
      <c r="A66" s="30" t="s">
        <v>145</v>
      </c>
      <c r="B66" s="40">
        <f>'World 1995'!$H$29/'World 1995'!$L$29</f>
        <v>7.6405003112796424E-3</v>
      </c>
      <c r="C66" s="40">
        <f>'World 2000'!$H$29/'World 2000'!$L$29</f>
        <v>1.1759840789847768E-3</v>
      </c>
      <c r="D66" s="40">
        <f>'World 2005'!$H$29/'World 2005'!$L$29</f>
        <v>1.7556959215385547E-3</v>
      </c>
      <c r="E66" s="40">
        <f>'World 2010'!$H$29/'World 2010'!$L$29</f>
        <v>4.7379900658003262E-3</v>
      </c>
      <c r="F66" s="40">
        <f>'World 2015'!$H$29/'World 2015'!$L$29</f>
        <v>7.2913674628250734E-3</v>
      </c>
      <c r="G66" s="40">
        <f>'World 2018'!$H$29/'World 2018'!$L$29</f>
        <v>8.4535550572500152E-3</v>
      </c>
      <c r="H66" s="77">
        <f t="shared" si="0"/>
        <v>8.4535550572500152E-3</v>
      </c>
      <c r="I66" s="77">
        <f t="shared" si="0"/>
        <v>8.4535550572500152E-3</v>
      </c>
    </row>
    <row r="67" spans="1:9" x14ac:dyDescent="0.35">
      <c r="A67" s="30" t="s">
        <v>146</v>
      </c>
      <c r="B67" s="40">
        <f>'World 1995'!$I$29/'World 1995'!$L$29</f>
        <v>3.117324127002094E-2</v>
      </c>
      <c r="C67" s="40">
        <f>'World 2000'!$I$29/'World 2000'!$L$29</f>
        <v>5.3397430927088985E-2</v>
      </c>
      <c r="D67" s="40">
        <f>'World 2005'!$I$29/'World 2005'!$L$29</f>
        <v>2.8555284241115572E-2</v>
      </c>
      <c r="E67" s="40">
        <f>'World 2010'!$I$29/'World 2010'!$L$29</f>
        <v>2.1710441906926448E-2</v>
      </c>
      <c r="F67" s="40">
        <f>'World 2015'!$I$29/'World 2015'!$L$29</f>
        <v>1.6423989335454459E-2</v>
      </c>
      <c r="G67" s="40">
        <f>'World 2018'!$I$29/'World 2018'!$L$29</f>
        <v>1.3745295312179601E-2</v>
      </c>
      <c r="H67" s="77">
        <f t="shared" si="0"/>
        <v>1.3745295312179601E-2</v>
      </c>
      <c r="I67" s="77">
        <f t="shared" si="0"/>
        <v>1.3745295312179601E-2</v>
      </c>
    </row>
    <row r="68" spans="1:9" x14ac:dyDescent="0.35">
      <c r="A68" s="30" t="s">
        <v>147</v>
      </c>
      <c r="B68" s="40">
        <f>'World 1995'!$J$29/'World 1995'!$L$29</f>
        <v>0.13288810911766372</v>
      </c>
      <c r="C68" s="40">
        <f>'World 2000'!$J$29/'World 2000'!$L$29</f>
        <v>0.20795533845080252</v>
      </c>
      <c r="D68" s="40">
        <f>'World 2005'!$J$29/'World 2005'!$L$29</f>
        <v>0.3469416584263314</v>
      </c>
      <c r="E68" s="40">
        <f>'World 2010'!$J$29/'World 2010'!$L$29</f>
        <v>0.40539599332832349</v>
      </c>
      <c r="F68" s="40">
        <f>'World 2015'!$J$29/'World 2015'!$L$29</f>
        <v>0.50460681853333034</v>
      </c>
      <c r="G68" s="40">
        <f>'World 2018'!$J$29/'World 2018'!$L$29</f>
        <v>0.60544123191713139</v>
      </c>
      <c r="H68" s="89">
        <f>1-H69-H67-H66-H65-H64-H63</f>
        <v>0.6054610759430874</v>
      </c>
      <c r="I68" s="89">
        <f>1-I69-I67-I66-I65-I64-I63</f>
        <v>0.6054610759430874</v>
      </c>
    </row>
    <row r="69" spans="1:9" x14ac:dyDescent="0.35">
      <c r="A69" s="30" t="s">
        <v>148</v>
      </c>
      <c r="B69" s="40">
        <f>'World 1995'!$K$29/'World 1995'!$L$29</f>
        <v>0.16371045333635181</v>
      </c>
      <c r="C69" s="40">
        <f>'World 2000'!$K$29/'World 2000'!$L$29</f>
        <v>0.11733994985914037</v>
      </c>
      <c r="D69" s="40">
        <f>'World 2005'!$K$29/'World 2005'!$L$29</f>
        <v>0.10145702581074809</v>
      </c>
      <c r="E69" s="40">
        <f>'World 2010'!$K$29/'World 2010'!$L$29</f>
        <v>4.7838120200150297E-2</v>
      </c>
      <c r="F69" s="40">
        <f>'World 2015'!$K$29/'World 2015'!$L$29</f>
        <v>5.2851366579022958E-2</v>
      </c>
      <c r="G69" s="40">
        <f>'World 2018'!$K$29/'World 2018'!$L$29</f>
        <v>3.9615290483466618E-2</v>
      </c>
      <c r="H69" s="77">
        <f t="shared" ref="H69:I131" si="1">G69</f>
        <v>3.9615290483466618E-2</v>
      </c>
      <c r="I69" s="77">
        <f t="shared" si="1"/>
        <v>3.9615290483466618E-2</v>
      </c>
    </row>
    <row r="70" spans="1:9" x14ac:dyDescent="0.35">
      <c r="A70" s="38" t="s">
        <v>155</v>
      </c>
      <c r="B70" s="42"/>
      <c r="C70" s="42"/>
      <c r="D70" s="42"/>
      <c r="E70" s="42"/>
      <c r="F70" s="42"/>
      <c r="G70" s="42"/>
      <c r="H70" s="42"/>
      <c r="I70" s="42"/>
    </row>
    <row r="71" spans="1:9" x14ac:dyDescent="0.35">
      <c r="A71" s="30" t="s">
        <v>147</v>
      </c>
      <c r="B71" s="40">
        <f>'World 1995'!$J21/IF('World 1995'!$J22=0,1,'World 1995'!$J22)*-1</f>
        <v>0.10424937540641363</v>
      </c>
      <c r="C71" s="40">
        <f>'World 2000'!$J21/IF('World 2000'!$J22=0,1,'World 2000'!$J22)*-1</f>
        <v>0.10731563897350975</v>
      </c>
      <c r="D71" s="40">
        <f>'World 2005'!$J21/IF('World 2005'!$J22=0,1,'World 2005'!$J22)*-1</f>
        <v>0.10554109985906336</v>
      </c>
      <c r="E71" s="40">
        <f>'World 2010'!$J21/IF('World 2010'!$J22=0,1,'World 2010'!$J22)*-1</f>
        <v>9.8217292870341838E-2</v>
      </c>
      <c r="F71" s="40">
        <f>'World 2015'!$J21/IF('World 2015'!$J22=0,1,'World 2015'!$J22)*-1</f>
        <v>9.4824802984501869E-2</v>
      </c>
      <c r="G71" s="40">
        <f>'World 2018'!$J21/IF('World 2018'!$J22=0,1,'World 2018'!$J22)*-1</f>
        <v>8.93589100151711E-2</v>
      </c>
      <c r="H71" s="77">
        <f t="shared" si="1"/>
        <v>8.93589100151711E-2</v>
      </c>
      <c r="I71" s="77">
        <f t="shared" si="1"/>
        <v>8.93589100151711E-2</v>
      </c>
    </row>
    <row r="72" spans="1:9" x14ac:dyDescent="0.35">
      <c r="A72" s="30" t="s">
        <v>148</v>
      </c>
      <c r="B72" s="40">
        <f>'World 1995'!$K21/IF('World 1995'!$K22=0,1,'World 1995'!$K22)*-1</f>
        <v>6.5211475935978119E-2</v>
      </c>
      <c r="C72" s="40">
        <f>'World 2000'!$K21/IF('World 2000'!$K22=0,1,'World 2000'!$K22)*-1</f>
        <v>7.7652079391279841E-2</v>
      </c>
      <c r="D72" s="40">
        <f>'World 2005'!$K21/IF('World 2005'!$K22=0,1,'World 2005'!$K22)*-1</f>
        <v>9.5422882896036079E-2</v>
      </c>
      <c r="E72" s="40">
        <f>'World 2010'!$K21/IF('World 2010'!$K22=0,1,'World 2010'!$K22)*-1</f>
        <v>7.9011807447774751E-2</v>
      </c>
      <c r="F72" s="40">
        <f>'World 2015'!$K21/IF('World 2015'!$K22=0,1,'World 2015'!$K22)*-1</f>
        <v>6.71546855697394E-2</v>
      </c>
      <c r="G72" s="40">
        <f>'World 2018'!$K21/IF('World 2018'!$K22=0,1,'World 2018'!$K22)*-1</f>
        <v>6.9397102507509245E-2</v>
      </c>
      <c r="H72" s="77">
        <f t="shared" si="1"/>
        <v>6.9397102507509245E-2</v>
      </c>
      <c r="I72" s="77">
        <f t="shared" si="1"/>
        <v>6.9397102507509245E-2</v>
      </c>
    </row>
    <row r="73" spans="1:9" x14ac:dyDescent="0.35">
      <c r="A73" s="38" t="s">
        <v>156</v>
      </c>
      <c r="B73" s="42"/>
      <c r="C73" s="42"/>
      <c r="D73" s="42"/>
      <c r="E73" s="42"/>
      <c r="F73" s="42"/>
      <c r="G73" s="42"/>
      <c r="H73" s="42"/>
      <c r="I73" s="42"/>
    </row>
    <row r="74" spans="1:9" x14ac:dyDescent="0.35">
      <c r="A74" s="30" t="s">
        <v>157</v>
      </c>
      <c r="B74" s="40">
        <f>'World 1995'!$L20/B4*0.041872</f>
        <v>8.8209072531629976E-2</v>
      </c>
      <c r="C74" s="40">
        <f>'World 2000'!$L20/C4*0.041872</f>
        <v>9.2775053572012142E-2</v>
      </c>
      <c r="D74" s="40">
        <f>'World 2005'!$L20/D4*0.041872</f>
        <v>9.5366391971228912E-2</v>
      </c>
      <c r="E74" s="40">
        <f>'World 2010'!$L20/E4*0.041872</f>
        <v>9.9835477273850601E-2</v>
      </c>
      <c r="F74" s="40">
        <f>'World 2015'!$L20/F4*0.041872</f>
        <v>9.5658261443022308E-2</v>
      </c>
      <c r="G74" s="40">
        <f>'World 2018'!$L20/G4*0.041872</f>
        <v>9.3026326189252329E-2</v>
      </c>
      <c r="H74" s="77">
        <f t="shared" si="1"/>
        <v>9.3026326189252329E-2</v>
      </c>
      <c r="I74" s="77">
        <f t="shared" si="1"/>
        <v>9.3026326189252329E-2</v>
      </c>
    </row>
    <row r="75" spans="1:9" x14ac:dyDescent="0.35">
      <c r="A75" s="39" t="s">
        <v>158</v>
      </c>
      <c r="B75" s="43"/>
      <c r="C75" s="43"/>
      <c r="D75" s="43"/>
      <c r="E75" s="43"/>
      <c r="F75" s="43"/>
      <c r="G75" s="43"/>
      <c r="H75" s="43">
        <f t="shared" si="1"/>
        <v>0</v>
      </c>
      <c r="I75" s="43">
        <f t="shared" si="1"/>
        <v>0</v>
      </c>
    </row>
    <row r="76" spans="1:9" x14ac:dyDescent="0.35">
      <c r="A76" s="30" t="s">
        <v>147</v>
      </c>
      <c r="B76" s="40">
        <f>'World 1995'!$J20/'World 1995'!$L20</f>
        <v>0.19895267202664005</v>
      </c>
      <c r="C76" s="40">
        <f>'World 2000'!$J20/'World 2000'!$L20</f>
        <v>0.1990234263611142</v>
      </c>
      <c r="D76" s="40">
        <f>'World 2005'!$J20/'World 2005'!$L20</f>
        <v>0.19375374648406879</v>
      </c>
      <c r="E76" s="40">
        <f>'World 2010'!$J20/'World 2010'!$L20</f>
        <v>0.19526724869589387</v>
      </c>
      <c r="F76" s="40">
        <f>'World 2015'!$J20/'World 2015'!$L20</f>
        <v>0.21543571459925573</v>
      </c>
      <c r="G76" s="40">
        <f>'World 2018'!$J20/'World 2018'!$L20</f>
        <v>0.22995525420497268</v>
      </c>
      <c r="H76" s="89">
        <f>1-H77-H78-H79-H80-H81-H82</f>
        <v>0.22995882910204543</v>
      </c>
      <c r="I76" s="89">
        <f>1-I77-I78-I79-I80-I81-I82</f>
        <v>0.22995882910204543</v>
      </c>
    </row>
    <row r="77" spans="1:9" x14ac:dyDescent="0.35">
      <c r="A77" s="30" t="s">
        <v>148</v>
      </c>
      <c r="B77" s="40">
        <f>'World 1995'!$K20/'World 1995'!$L20</f>
        <v>4.9302567916802743E-2</v>
      </c>
      <c r="C77" s="40">
        <f>'World 2000'!$K20/'World 2000'!$L20</f>
        <v>4.0577624352948677E-2</v>
      </c>
      <c r="D77" s="40">
        <f>'World 2005'!$K20/'World 2005'!$L20</f>
        <v>4.9024184995619495E-2</v>
      </c>
      <c r="E77" s="40">
        <f>'World 2010'!$K20/'World 2010'!$L20</f>
        <v>5.0099514093280194E-2</v>
      </c>
      <c r="F77" s="40">
        <f>'World 2015'!$K20/'World 2015'!$L20</f>
        <v>4.5054162541274249E-2</v>
      </c>
      <c r="G77" s="40">
        <f>'World 2018'!$K20/'World 2018'!$L20</f>
        <v>4.66547900641694E-2</v>
      </c>
      <c r="H77" s="77">
        <f t="shared" si="1"/>
        <v>4.66547900641694E-2</v>
      </c>
      <c r="I77" s="77">
        <f t="shared" si="1"/>
        <v>4.66547900641694E-2</v>
      </c>
    </row>
    <row r="78" spans="1:9" x14ac:dyDescent="0.35">
      <c r="A78" s="30" t="s">
        <v>141</v>
      </c>
      <c r="B78" s="40">
        <f>'World 1995'!$B20/'World 1995'!$L20</f>
        <v>9.6066101723711564E-2</v>
      </c>
      <c r="C78" s="40">
        <f>'World 2000'!$B20/'World 2000'!$L20</f>
        <v>9.6231586504429978E-2</v>
      </c>
      <c r="D78" s="40">
        <f>'World 2005'!$B20/'World 2005'!$L20</f>
        <v>0.10018386591045327</v>
      </c>
      <c r="E78" s="40">
        <f>'World 2010'!$B20/'World 2010'!$L20</f>
        <v>0.14188327319472502</v>
      </c>
      <c r="F78" s="40">
        <f>'World 2015'!$B20/'World 2015'!$L20</f>
        <v>0.11304510049699802</v>
      </c>
      <c r="G78" s="40">
        <f>'World 2018'!$B20/'World 2018'!$L20</f>
        <v>9.5284114944857209E-2</v>
      </c>
      <c r="H78" s="77">
        <f t="shared" si="1"/>
        <v>9.5284114944857209E-2</v>
      </c>
      <c r="I78" s="77">
        <f t="shared" si="1"/>
        <v>9.5284114944857209E-2</v>
      </c>
    </row>
    <row r="79" spans="1:9" x14ac:dyDescent="0.35">
      <c r="A79" s="30" t="s">
        <v>159</v>
      </c>
      <c r="B79" s="40">
        <f>'World 1995'!$E20/'World 1995'!$L20</f>
        <v>0.28342605369915563</v>
      </c>
      <c r="C79" s="40">
        <f>'World 2000'!$E20/'World 2000'!$L20</f>
        <v>0.30156198105896681</v>
      </c>
      <c r="D79" s="40">
        <f>'World 2005'!$E20/'World 2005'!$L20</f>
        <v>0.31754478489417626</v>
      </c>
      <c r="E79" s="40">
        <f>'World 2010'!$E20/'World 2010'!$L20</f>
        <v>0.31304751363665695</v>
      </c>
      <c r="F79" s="40">
        <f>'World 2015'!$E20/'World 2015'!$L20</f>
        <v>0.33359589525486388</v>
      </c>
      <c r="G79" s="40">
        <f>'World 2018'!$E20/'World 2018'!$L20</f>
        <v>0.36071545606749406</v>
      </c>
      <c r="H79" s="77">
        <f t="shared" si="1"/>
        <v>0.36071545606749406</v>
      </c>
      <c r="I79" s="77">
        <f t="shared" si="1"/>
        <v>0.36071545606749406</v>
      </c>
    </row>
    <row r="80" spans="1:9" x14ac:dyDescent="0.35">
      <c r="A80" s="30" t="s">
        <v>160</v>
      </c>
      <c r="B80" s="40">
        <f>'World 1995'!$C20/'World 1995'!$L20</f>
        <v>1.2317619008964961E-2</v>
      </c>
      <c r="C80" s="40">
        <f>'World 2000'!$C20/'World 2000'!$L20</f>
        <v>1.6102897515121627E-2</v>
      </c>
      <c r="D80" s="40">
        <f>'World 2005'!$C20/'World 2005'!$L20</f>
        <v>1.4579586849264536E-2</v>
      </c>
      <c r="E80" s="40">
        <f>'World 2010'!$C20/'World 2010'!$L20</f>
        <v>1.1684840603735376E-2</v>
      </c>
      <c r="F80" s="40">
        <f>'World 2015'!$C20/'World 2015'!$L20</f>
        <v>1.4725821948876023E-2</v>
      </c>
      <c r="G80" s="40">
        <f>'World 2018'!$C20/'World 2018'!$L20</f>
        <v>1.1760219737006739E-2</v>
      </c>
      <c r="H80" s="77">
        <f t="shared" si="1"/>
        <v>1.1760219737006739E-2</v>
      </c>
      <c r="I80" s="77">
        <f t="shared" si="1"/>
        <v>1.1760219737006739E-2</v>
      </c>
    </row>
    <row r="81" spans="1:9" x14ac:dyDescent="0.35">
      <c r="A81" s="30" t="s">
        <v>143</v>
      </c>
      <c r="B81" s="40">
        <f>'World 1995'!$D20/'World 1995'!$L20</f>
        <v>0.34611093596914649</v>
      </c>
      <c r="C81" s="40">
        <f>'World 2000'!$D20/'World 2000'!$L20</f>
        <v>0.33698332343676091</v>
      </c>
      <c r="D81" s="40">
        <f>'World 2005'!$D20/'World 2005'!$L20</f>
        <v>0.31270461566837277</v>
      </c>
      <c r="E81" s="40">
        <f>'World 2010'!$D20/'World 2010'!$L20</f>
        <v>0.27103569106457748</v>
      </c>
      <c r="F81" s="40">
        <f>'World 2015'!$D20/'World 2015'!$L20</f>
        <v>0.26057644941496649</v>
      </c>
      <c r="G81" s="40">
        <f>'World 2018'!$D20/'World 2018'!$L20</f>
        <v>0.23718846261551385</v>
      </c>
      <c r="H81" s="77">
        <f t="shared" si="1"/>
        <v>0.23718846261551385</v>
      </c>
      <c r="I81" s="77">
        <f t="shared" si="1"/>
        <v>0.23718846261551385</v>
      </c>
    </row>
    <row r="82" spans="1:9" x14ac:dyDescent="0.35">
      <c r="A82" s="30" t="s">
        <v>161</v>
      </c>
      <c r="B82" s="40">
        <f>'World 1995'!$I20/'World 1995'!$L20</f>
        <v>1.382593741328113E-2</v>
      </c>
      <c r="C82" s="40">
        <f>'World 2000'!$I20/'World 2000'!$L20</f>
        <v>9.5191607706578366E-3</v>
      </c>
      <c r="D82" s="40">
        <f>'World 2005'!$I20/'World 2005'!$L20</f>
        <v>1.2210656153455988E-2</v>
      </c>
      <c r="E82" s="40">
        <f>'World 2010'!$I20/'World 2010'!$L20</f>
        <v>1.6980677887025446E-2</v>
      </c>
      <c r="F82" s="40">
        <f>'World 2015'!$I20/'World 2015'!$L20</f>
        <v>1.7568075071574544E-2</v>
      </c>
      <c r="G82" s="40">
        <f>'World 2018'!$I20/'World 2018'!$L20</f>
        <v>1.8438127468913292E-2</v>
      </c>
      <c r="H82" s="77">
        <f t="shared" si="1"/>
        <v>1.8438127468913292E-2</v>
      </c>
      <c r="I82" s="77">
        <f t="shared" si="1"/>
        <v>1.8438127468913292E-2</v>
      </c>
    </row>
    <row r="83" spans="1:9" ht="18.75" customHeight="1" x14ac:dyDescent="0.35">
      <c r="A83" s="32" t="s">
        <v>162</v>
      </c>
      <c r="B83" s="82"/>
      <c r="C83" s="82"/>
      <c r="D83" s="82"/>
      <c r="E83" s="82"/>
      <c r="F83" s="82"/>
      <c r="G83" s="82"/>
      <c r="H83" s="42"/>
      <c r="I83" s="42"/>
    </row>
    <row r="84" spans="1:9" x14ac:dyDescent="0.35">
      <c r="A84" s="30" t="s">
        <v>163</v>
      </c>
      <c r="B84" s="40">
        <f>'World 1995'!$K13/IF(('World 1995'!$K13+'World 1995'!$K14)=0,1,('World 1995'!$K13+'World 1995'!$K14))</f>
        <v>0.47389039848243125</v>
      </c>
      <c r="C84" s="40">
        <f>'World 2000'!$K13/IF(('World 2000'!$K13+'World 2000'!$K14)=0,1,('World 2000'!$K13+'World 2000'!$K14))</f>
        <v>0.47920649604275878</v>
      </c>
      <c r="D84" s="40">
        <f>'World 2005'!$K13/IF(('World 2005'!$K13+'World 2005'!$K14)=0,1,('World 2005'!$K13+'World 2005'!$K14))</f>
        <v>0.60641587785493389</v>
      </c>
      <c r="E84" s="40">
        <f>'World 2010'!$K13/IF(('World 2010'!$K13+'World 2010'!$K14)=0,1,('World 2010'!$K13+'World 2010'!$K14))</f>
        <v>0.62648045780935036</v>
      </c>
      <c r="F84" s="40">
        <f>'World 2015'!$K13/IF(('World 2015'!$K13+'World 2015'!$K14)=0,1,('World 2015'!$K13+'World 2015'!$K14))</f>
        <v>0.69952047554118857</v>
      </c>
      <c r="G84" s="40">
        <f>'World 2018'!$K13/IF(('World 2018'!$K13+'World 2018'!$K14)=0,1,('World 2018'!$K13+'World 2018'!$K14))</f>
        <v>0.71503451910112992</v>
      </c>
      <c r="H84" s="89">
        <f>1-H85</f>
        <v>0.71503451910112992</v>
      </c>
      <c r="I84" s="89">
        <f>1-I85</f>
        <v>0.71503451910112992</v>
      </c>
    </row>
    <row r="85" spans="1:9" x14ac:dyDescent="0.35">
      <c r="A85" s="30" t="s">
        <v>164</v>
      </c>
      <c r="B85" s="40">
        <f>'World 1995'!$K14/IF(('World 1995'!$K13+'World 1995'!$K14)=0,1,('World 1995'!$K13+'World 1995'!$K14))</f>
        <v>0.5261096015175688</v>
      </c>
      <c r="C85" s="40">
        <f>'World 2000'!$K14/IF(('World 2000'!$K13+'World 2000'!$K14)=0,1,('World 2000'!$K13+'World 2000'!$K14))</f>
        <v>0.52079350395724122</v>
      </c>
      <c r="D85" s="40">
        <f>'World 2005'!$K14/IF(('World 2005'!$K13+'World 2005'!$K14)=0,1,('World 2005'!$K13+'World 2005'!$K14))</f>
        <v>0.39358412214506611</v>
      </c>
      <c r="E85" s="40">
        <f>'World 2010'!$K14/IF(('World 2010'!$K13+'World 2010'!$K14)=0,1,('World 2010'!$K13+'World 2010'!$K14))</f>
        <v>0.37351954219064959</v>
      </c>
      <c r="F85" s="40">
        <f>'World 2015'!$K14/IF(('World 2015'!$K13+'World 2015'!$K14)=0,1,('World 2015'!$K13+'World 2015'!$K14))</f>
        <v>0.30047952445881143</v>
      </c>
      <c r="G85" s="40">
        <f>'World 2018'!$K14/IF(('World 2018'!$K13+'World 2018'!$K14)=0,1,('World 2018'!$K13+'World 2018'!$K14))</f>
        <v>0.28496548089887008</v>
      </c>
      <c r="H85" s="77">
        <f t="shared" si="1"/>
        <v>0.28496548089887008</v>
      </c>
      <c r="I85" s="77">
        <f t="shared" si="1"/>
        <v>0.28496548089887008</v>
      </c>
    </row>
    <row r="86" spans="1:9" x14ac:dyDescent="0.35">
      <c r="A86" s="32" t="s">
        <v>165</v>
      </c>
      <c r="B86" s="82"/>
      <c r="C86" s="82"/>
      <c r="D86" s="82"/>
      <c r="E86" s="82"/>
      <c r="F86" s="82"/>
      <c r="G86" s="82"/>
      <c r="H86" s="42"/>
      <c r="I86" s="42"/>
    </row>
    <row r="87" spans="1:9" x14ac:dyDescent="0.35">
      <c r="A87" s="30" t="s">
        <v>166</v>
      </c>
      <c r="B87" s="40">
        <f>'World 1995'!$J14/IF('World 1995'!$K14=0,1,'World 1995'!$K14)*-1</f>
        <v>3.4508652958744391E-3</v>
      </c>
      <c r="C87" s="40">
        <f>'World 2000'!$J14/IF('World 2000'!$K14=0,1,'World 2000'!$K14)*-1</f>
        <v>3.4472777032183363E-3</v>
      </c>
      <c r="D87" s="40">
        <f>'World 2005'!$J14/IF('World 2005'!$K14=0,1,'World 2005'!$K14)*-1</f>
        <v>2.9166135407369628E-3</v>
      </c>
      <c r="E87" s="40">
        <f>'World 2010'!$J14/IF('World 2010'!$K14=0,1,'World 2010'!$K14)*-1</f>
        <v>2.7654867256637168E-3</v>
      </c>
      <c r="F87" s="40">
        <f>'World 2015'!$J14/IF('World 2015'!$K14=0,1,'World 2015'!$K14)*-1</f>
        <v>3.8035608671710889E-3</v>
      </c>
      <c r="G87" s="40">
        <f>'World 2018'!$J14/IF('World 2018'!$K14=0,1,'World 2018'!$K14)*-1</f>
        <v>6.9936260623229465E-3</v>
      </c>
      <c r="H87" s="77">
        <f t="shared" si="1"/>
        <v>6.9936260623229465E-3</v>
      </c>
      <c r="I87" s="77">
        <f t="shared" si="1"/>
        <v>6.9936260623229465E-3</v>
      </c>
    </row>
    <row r="88" spans="1:9" ht="18.75" customHeight="1" x14ac:dyDescent="0.35">
      <c r="A88" s="32" t="s">
        <v>167</v>
      </c>
      <c r="B88" s="82"/>
      <c r="C88" s="82"/>
      <c r="D88" s="82"/>
      <c r="E88" s="82"/>
      <c r="F88" s="82"/>
      <c r="G88" s="82"/>
      <c r="H88" s="42"/>
      <c r="I88" s="42"/>
    </row>
    <row r="89" spans="1:9" x14ac:dyDescent="0.35">
      <c r="A89" s="30" t="s">
        <v>168</v>
      </c>
      <c r="B89" s="34">
        <f>'World 1995'!$J13/IF('World 1995'!$K13=0,1,'World 1995'!$K13)</f>
        <v>0.85579187190550743</v>
      </c>
      <c r="C89" s="34">
        <f>'World 2000'!$J13/IF('World 2000'!$K13=0,1,'World 2000'!$K13)</f>
        <v>1.0174023708406619</v>
      </c>
      <c r="D89" s="34">
        <f>'World 2005'!$J13/IF('World 2005'!$K13=0,1,'World 2005'!$K13)</f>
        <v>1.2861760781190197</v>
      </c>
      <c r="E89" s="34">
        <f>'World 2010'!$J13/IF('World 2010'!$K13=0,1,'World 2010'!$K13)</f>
        <v>1.4211409000758464</v>
      </c>
      <c r="F89" s="34">
        <f>'World 2015'!$J13/IF('World 2015'!$K13=0,1,'World 2015'!$K13)</f>
        <v>1.4392879513269878</v>
      </c>
      <c r="G89" s="34">
        <f>'World 2018'!$J13/IF('World 2018'!$K13=0,1,'World 2018'!$K13)</f>
        <v>1.3997843940492758</v>
      </c>
      <c r="H89" s="78">
        <f t="shared" si="1"/>
        <v>1.3997843940492758</v>
      </c>
      <c r="I89" s="78">
        <f t="shared" si="1"/>
        <v>1.3997843940492758</v>
      </c>
    </row>
    <row r="90" spans="1:9" ht="18.75" customHeight="1" x14ac:dyDescent="0.35">
      <c r="A90" s="32" t="s">
        <v>169</v>
      </c>
      <c r="B90" s="82"/>
      <c r="C90" s="82"/>
      <c r="D90" s="82"/>
      <c r="E90" s="82"/>
      <c r="F90" s="82"/>
      <c r="G90" s="82"/>
      <c r="H90" s="33"/>
      <c r="I90" s="33"/>
    </row>
    <row r="91" spans="1:9" x14ac:dyDescent="0.35">
      <c r="A91" s="30" t="s">
        <v>170</v>
      </c>
      <c r="B91" s="40">
        <v>1</v>
      </c>
      <c r="C91" s="40">
        <v>1</v>
      </c>
      <c r="D91" s="40">
        <v>1</v>
      </c>
      <c r="E91" s="40">
        <v>1</v>
      </c>
      <c r="F91" s="40">
        <v>1</v>
      </c>
      <c r="G91" s="40">
        <v>1</v>
      </c>
      <c r="H91" s="77">
        <f t="shared" si="1"/>
        <v>1</v>
      </c>
      <c r="I91" s="77">
        <f t="shared" si="1"/>
        <v>1</v>
      </c>
    </row>
    <row r="92" spans="1:9" x14ac:dyDescent="0.35">
      <c r="A92" s="32" t="s">
        <v>171</v>
      </c>
      <c r="B92" s="82"/>
      <c r="C92" s="82"/>
      <c r="D92" s="82"/>
      <c r="E92" s="82"/>
      <c r="F92" s="82"/>
      <c r="G92" s="82"/>
      <c r="H92" s="42"/>
      <c r="I92" s="42"/>
    </row>
    <row r="93" spans="1:9" x14ac:dyDescent="0.35">
      <c r="A93" s="30" t="s">
        <v>172</v>
      </c>
      <c r="B93" s="40">
        <f>'World 1995'!$G12/'World 1995'!$J12*-1</f>
        <v>0.2116975624025543</v>
      </c>
      <c r="C93" s="40">
        <f>'World 2000'!$G12/'World 2000'!$J12*-1</f>
        <v>0.18972047300281461</v>
      </c>
      <c r="D93" s="40">
        <f>'World 2005'!$G12/'World 2005'!$J12*-1</f>
        <v>0.19067316011591487</v>
      </c>
      <c r="E93" s="40">
        <f>'World 2010'!$G12/'World 2010'!$J12*-1</f>
        <v>0.19139060535088556</v>
      </c>
      <c r="F93" s="40">
        <f>'World 2015'!$G12/'World 2015'!$J12*-1</f>
        <v>0.19034861233803221</v>
      </c>
      <c r="G93" s="40">
        <f>'World 2018'!$G12/'World 2018'!$J12*-1</f>
        <v>0.18756826768074694</v>
      </c>
      <c r="H93" s="77">
        <f t="shared" si="1"/>
        <v>0.18756826768074694</v>
      </c>
      <c r="I93" s="77">
        <f t="shared" si="1"/>
        <v>0.18756826768074694</v>
      </c>
    </row>
    <row r="94" spans="1:9" x14ac:dyDescent="0.35">
      <c r="A94" s="30" t="s">
        <v>145</v>
      </c>
      <c r="B94" s="40">
        <f>'World 1995'!$H12/'World 1995'!$J12*-1</f>
        <v>3.61744276635819E-2</v>
      </c>
      <c r="C94" s="40">
        <f>'World 2000'!$H12/'World 2000'!$J12*-1</f>
        <v>4.2360994410473418E-2</v>
      </c>
      <c r="D94" s="40">
        <f>'World 2005'!$H12/'World 2005'!$J12*-1</f>
        <v>4.2693547229264349E-2</v>
      </c>
      <c r="E94" s="40">
        <f>'World 2010'!$H12/'World 2010'!$J12*-1</f>
        <v>5.5425511861448166E-2</v>
      </c>
      <c r="F94" s="40">
        <f>'World 2015'!$H12/'World 2015'!$J12*-1</f>
        <v>9.0065293045602804E-2</v>
      </c>
      <c r="G94" s="40">
        <f>'World 2018'!$H12/'World 2018'!$J12*-1</f>
        <v>0.12085463112416099</v>
      </c>
      <c r="H94" s="77">
        <f t="shared" si="1"/>
        <v>0.12085463112416099</v>
      </c>
      <c r="I94" s="77">
        <f t="shared" si="1"/>
        <v>0.12085463112416099</v>
      </c>
    </row>
    <row r="95" spans="1:9" x14ac:dyDescent="0.35">
      <c r="A95" s="30" t="s">
        <v>173</v>
      </c>
      <c r="B95" s="40">
        <f t="shared" ref="B95:G95" si="2">1-B93-B94</f>
        <v>0.75212800993386375</v>
      </c>
      <c r="C95" s="40">
        <f t="shared" si="2"/>
        <v>0.76791853258671194</v>
      </c>
      <c r="D95" s="40">
        <f t="shared" si="2"/>
        <v>0.76663329265482083</v>
      </c>
      <c r="E95" s="40">
        <f t="shared" si="2"/>
        <v>0.75318388278766624</v>
      </c>
      <c r="F95" s="40">
        <f t="shared" si="2"/>
        <v>0.71958609461636491</v>
      </c>
      <c r="G95" s="40">
        <f t="shared" si="2"/>
        <v>0.69157710119509208</v>
      </c>
      <c r="H95" s="89">
        <f>1-H94-H93</f>
        <v>0.69157710119509208</v>
      </c>
      <c r="I95" s="89">
        <f>1-I94-I93</f>
        <v>0.69157710119509208</v>
      </c>
    </row>
    <row r="96" spans="1:9" x14ac:dyDescent="0.35">
      <c r="A96" s="32" t="s">
        <v>174</v>
      </c>
      <c r="B96" s="82"/>
      <c r="C96" s="82"/>
      <c r="D96" s="82"/>
      <c r="E96" s="82"/>
      <c r="F96" s="82"/>
      <c r="G96" s="82"/>
      <c r="H96" s="42"/>
      <c r="I96" s="42"/>
    </row>
    <row r="97" spans="1:9" x14ac:dyDescent="0.35">
      <c r="A97" s="30" t="s">
        <v>145</v>
      </c>
      <c r="B97" s="40">
        <f>'World 1995'!$H13/IF(('World 1995'!$J13+'World 1995'!$K13)=0,1,('World 1995'!$J13+'World 1995'!$K13))*-1</f>
        <v>1.8380840031823544E-3</v>
      </c>
      <c r="C97" s="40">
        <f>'World 2000'!$H13/IF(('World 2000'!$J13+'World 2000'!$K13)=0,1,('World 2000'!$J13+'World 2000'!$K13))*-1</f>
        <v>3.1364515923250854E-3</v>
      </c>
      <c r="D97" s="40">
        <f>'World 2005'!$H13/IF(('World 2005'!$J13+'World 2005'!$K13)=0,1,('World 2005'!$J13+'World 2005'!$K13))*-1</f>
        <v>2.1673080360071761E-3</v>
      </c>
      <c r="E97" s="40">
        <f>'World 2010'!$H13/IF(('World 2010'!$J13+'World 2010'!$K13)=0,1,('World 2010'!$J13+'World 2010'!$K13))*-1</f>
        <v>3.9790791885402519E-3</v>
      </c>
      <c r="F97" s="40">
        <f>'World 2015'!$H13/IF(('World 2015'!$J13+'World 2015'!$K13)=0,1,('World 2015'!$J13+'World 2015'!$K13))*-1</f>
        <v>4.9004555681852868E-3</v>
      </c>
      <c r="G97" s="40">
        <f>'World 2018'!$H13/IF(('World 2018'!$J13+'World 2018'!$K13)=0,1,('World 2018'!$J13+'World 2018'!$K13))*-1</f>
        <v>4.7715270029877179E-3</v>
      </c>
      <c r="H97" s="77">
        <f t="shared" si="1"/>
        <v>4.7715270029877179E-3</v>
      </c>
      <c r="I97" s="77">
        <f t="shared" si="1"/>
        <v>4.7715270029877179E-3</v>
      </c>
    </row>
    <row r="98" spans="1:9" x14ac:dyDescent="0.35">
      <c r="A98" s="30" t="s">
        <v>173</v>
      </c>
      <c r="B98" s="40">
        <f t="shared" ref="B98:G98" si="3">1-B97</f>
        <v>0.99816191599681769</v>
      </c>
      <c r="C98" s="40">
        <f t="shared" si="3"/>
        <v>0.99686354840767488</v>
      </c>
      <c r="D98" s="40">
        <f t="shared" si="3"/>
        <v>0.99783269196399282</v>
      </c>
      <c r="E98" s="40">
        <f t="shared" si="3"/>
        <v>0.99602092081145976</v>
      </c>
      <c r="F98" s="40">
        <f t="shared" si="3"/>
        <v>0.9950995444318147</v>
      </c>
      <c r="G98" s="40">
        <f t="shared" si="3"/>
        <v>0.99522847299701234</v>
      </c>
      <c r="H98" s="89">
        <f>1-H97</f>
        <v>0.99522847299701234</v>
      </c>
      <c r="I98" s="89">
        <f>1-I97</f>
        <v>0.99522847299701234</v>
      </c>
    </row>
    <row r="99" spans="1:9" x14ac:dyDescent="0.35">
      <c r="A99" s="32" t="s">
        <v>175</v>
      </c>
      <c r="B99" s="82"/>
      <c r="C99" s="82"/>
      <c r="D99" s="82"/>
      <c r="E99" s="82"/>
      <c r="F99" s="82"/>
      <c r="G99" s="82"/>
      <c r="H99" s="42"/>
      <c r="I99" s="42"/>
    </row>
    <row r="100" spans="1:9" x14ac:dyDescent="0.35">
      <c r="A100" s="30" t="s">
        <v>145</v>
      </c>
      <c r="B100" s="40">
        <f>'World 1995'!$H14/IF('World 1995'!$K14=0,1,'World 1995'!$K14)*-1</f>
        <v>2.1266960544342474E-3</v>
      </c>
      <c r="C100" s="40">
        <f>'World 2000'!$H14/IF('World 2000'!$K14=0,1,'World 2000'!$K14)*-1</f>
        <v>3.0130786031946528E-3</v>
      </c>
      <c r="D100" s="40">
        <f>'World 2005'!$H14/IF('World 2005'!$K14=0,1,'World 2005'!$K14)*-1</f>
        <v>5.1080581410174681E-3</v>
      </c>
      <c r="E100" s="40">
        <f>'World 2010'!$H14/IF('World 2010'!$K14=0,1,'World 2010'!$K14)*-1</f>
        <v>6.9690265486725663E-3</v>
      </c>
      <c r="F100" s="40">
        <f>'World 2015'!$H14/IF('World 2015'!$K14=0,1,'World 2015'!$K14)*-1</f>
        <v>1.2287643015928048E-2</v>
      </c>
      <c r="G100" s="40">
        <f>'World 2018'!$H14/IF('World 2018'!$K14=0,1,'World 2018'!$K14)*-1</f>
        <v>1.5915171545483161E-2</v>
      </c>
      <c r="H100" s="77">
        <f t="shared" si="1"/>
        <v>1.5915171545483161E-2</v>
      </c>
      <c r="I100" s="77">
        <f t="shared" si="1"/>
        <v>1.5915171545483161E-2</v>
      </c>
    </row>
    <row r="101" spans="1:9" x14ac:dyDescent="0.35">
      <c r="A101" s="30" t="s">
        <v>173</v>
      </c>
      <c r="B101" s="40">
        <f t="shared" ref="B101:G101" si="4">1-B100</f>
        <v>0.99787330394556573</v>
      </c>
      <c r="C101" s="40">
        <f t="shared" si="4"/>
        <v>0.99698692139680534</v>
      </c>
      <c r="D101" s="40">
        <f t="shared" si="4"/>
        <v>0.99489194185898255</v>
      </c>
      <c r="E101" s="40">
        <f t="shared" si="4"/>
        <v>0.9930309734513274</v>
      </c>
      <c r="F101" s="40">
        <f t="shared" si="4"/>
        <v>0.987712356984072</v>
      </c>
      <c r="G101" s="40">
        <f t="shared" si="4"/>
        <v>0.98408482845451684</v>
      </c>
      <c r="H101" s="89">
        <f>1-H100</f>
        <v>0.98408482845451684</v>
      </c>
      <c r="I101" s="89">
        <f>1-I100</f>
        <v>0.98408482845451684</v>
      </c>
    </row>
    <row r="102" spans="1:9" x14ac:dyDescent="0.35">
      <c r="A102" s="31" t="s">
        <v>176</v>
      </c>
      <c r="B102" s="81"/>
      <c r="C102" s="81"/>
      <c r="D102" s="81"/>
      <c r="E102" s="81"/>
      <c r="F102" s="81"/>
      <c r="G102" s="81"/>
      <c r="H102" s="42"/>
      <c r="I102" s="42"/>
    </row>
    <row r="103" spans="1:9" x14ac:dyDescent="0.35">
      <c r="A103" s="30" t="s">
        <v>177</v>
      </c>
      <c r="B103" s="40">
        <f>('World 1995'!$J12+'World 1995'!$G12+'World 1995'!$H12)/('World 1995'!$B12+'World 1995'!$D12+'World 1995'!$E12+'World 1995'!$F12+'World 1995'!$I12)*-1</f>
        <v>0.33584964507875265</v>
      </c>
      <c r="C103" s="40">
        <f>('World 2000'!$J12+'World 2000'!$G12+'World 2000'!$H12)/('World 2000'!$B12+'World 2000'!$D12+'World 2000'!$E12+'World 2000'!$F12+'World 2000'!$I12)*-1</f>
        <v>0.33939680986339449</v>
      </c>
      <c r="D103" s="40">
        <f>('World 2005'!$J12+'World 2005'!$G12+'World 2005'!$H12)/('World 2005'!$B12+'World 2005'!$D12+'World 2005'!$E12+'World 2005'!$F12+'World 2005'!$I12)*-1</f>
        <v>0.34861324533166932</v>
      </c>
      <c r="E103" s="40">
        <f>('World 2010'!$J12+'World 2010'!$G12+'World 2010'!$H12)/('World 2010'!$B12+'World 2010'!$D12+'World 2010'!$E12+'World 2010'!$F12+'World 2010'!$I12)*-1</f>
        <v>0.35728238764579123</v>
      </c>
      <c r="F103" s="40">
        <f>('World 2015'!$J12+'World 2015'!$G12+'World 2015'!$H12)/('World 2015'!$B12+'World 2015'!$D12+'World 2015'!$E12+'World 2015'!$F12+'World 2015'!$I12)*-1</f>
        <v>0.36667274960316082</v>
      </c>
      <c r="G103" s="40">
        <f>('World 2018'!$J12+'World 2018'!$G12+'World 2018'!$H12)/('World 2018'!$B12+'World 2018'!$D12+'World 2018'!$E12+'World 2018'!$F12+'World 2018'!$I12)*-1</f>
        <v>0.36549938073117771</v>
      </c>
      <c r="H103" s="77">
        <f t="shared" si="1"/>
        <v>0.36549938073117771</v>
      </c>
      <c r="I103" s="77">
        <f t="shared" si="1"/>
        <v>0.36549938073117771</v>
      </c>
    </row>
    <row r="104" spans="1:9" x14ac:dyDescent="0.35">
      <c r="A104" s="30" t="s">
        <v>163</v>
      </c>
      <c r="B104" s="40">
        <f>('World 1995'!$J13+'World 1995'!$K13+'World 1995'!$H13)/IF(('World 1995'!$B13+'World 1995'!$D13+'World 1995'!$E13+'World 1995'!$F13+'World 1995'!$I13)=0,1,('World 1995'!$B13+'World 1995'!$D13+'World 1995'!$E13+'World 1995'!$F13+'World 1995'!$I13))*-1</f>
        <v>0.57898160248721486</v>
      </c>
      <c r="C104" s="40">
        <f>('World 2000'!$J13+'World 2000'!$K13+'World 2000'!$H13)/IF(('World 2000'!$B13+'World 2000'!$D13+'World 2000'!$E13+'World 2000'!$F13+'World 2000'!$I13)=0,1,('World 2000'!$B13+'World 2000'!$D13+'World 2000'!$E13+'World 2000'!$F13+'World 2000'!$I13))*-1</f>
        <v>0.5795318516809207</v>
      </c>
      <c r="D104" s="40">
        <f>('World 2005'!$J13+'World 2005'!$K13+'World 2005'!$H13)/IF(('World 2005'!$B13+'World 2005'!$D13+'World 2005'!$E13+'World 2005'!$F13+'World 2005'!$I13)=0,1,('World 2005'!$B13+'World 2005'!$D13+'World 2005'!$E13+'World 2005'!$F13+'World 2005'!$I13))*-1</f>
        <v>0.52604869228778373</v>
      </c>
      <c r="E104" s="40">
        <f>('World 2010'!$J13+'World 2010'!$K13+'World 2010'!$H13)/IF(('World 2010'!$B13+'World 2010'!$D13+'World 2010'!$E13+'World 2010'!$F13+'World 2010'!$I13)=0,1,('World 2010'!$B13+'World 2010'!$D13+'World 2010'!$E13+'World 2010'!$F13+'World 2010'!$I13))*-1</f>
        <v>0.53933944501749531</v>
      </c>
      <c r="F104" s="40">
        <f>('World 2015'!$J13+'World 2015'!$K13+'World 2015'!$H13)/IF(('World 2015'!$B13+'World 2015'!$D13+'World 2015'!$E13+'World 2015'!$F13+'World 2015'!$I13)=0,1,('World 2015'!$B13+'World 2015'!$D13+'World 2015'!$E13+'World 2015'!$F13+'World 2015'!$I13))*-1</f>
        <v>0.54018450716856359</v>
      </c>
      <c r="G104" s="40">
        <f>('World 2018'!$J13+'World 2018'!$K13+'World 2018'!$H13)/IF(('World 2018'!$B13+'World 2018'!$D13+'World 2018'!$E13+'World 2018'!$F13+'World 2018'!$I13)=0,1,('World 2018'!$B13+'World 2018'!$D13+'World 2018'!$E13+'World 2018'!$F13+'World 2018'!$I13))*-1</f>
        <v>0.5573014714357063</v>
      </c>
      <c r="H104" s="77">
        <f t="shared" si="1"/>
        <v>0.5573014714357063</v>
      </c>
      <c r="I104" s="77">
        <f t="shared" si="1"/>
        <v>0.5573014714357063</v>
      </c>
    </row>
    <row r="105" spans="1:9" x14ac:dyDescent="0.35">
      <c r="A105" s="30" t="s">
        <v>178</v>
      </c>
      <c r="B105" s="40">
        <f>('World 1995'!$K14+'World 1995'!$H14)/IF(('World 1995'!$B14+'World 1995'!$D14+'World 1995'!$E14+'World 1995'!$I14)=0,1,('World 1995'!$B14+'World 1995'!$D14+'World 1995'!$E14+'World 1995'!$I14))*-1</f>
        <v>0.88555062672961093</v>
      </c>
      <c r="C105" s="40">
        <f>('World 2000'!$K14+'World 2000'!$H14)/IF(('World 2000'!$B14+'World 2000'!$D14+'World 2000'!$E14+'World 2000'!$I14)=0,1,('World 2000'!$B14+'World 2000'!$D14+'World 2000'!$E14+'World 2000'!$I14))*-1</f>
        <v>0.79004686709867111</v>
      </c>
      <c r="D105" s="40">
        <f>('World 2005'!$K14+'World 2005'!$H14)/IF(('World 2005'!$B14+'World 2005'!$D14+'World 2005'!$E14+'World 2005'!$I14)=0,1,('World 2005'!$B14+'World 2005'!$D14+'World 2005'!$E14+'World 2005'!$I14))*-1</f>
        <v>0.89362813868926616</v>
      </c>
      <c r="E105" s="40">
        <f>('World 2010'!$K14+'World 2010'!$H14)/IF(('World 2010'!$B14+'World 2010'!$D14+'World 2010'!$E14+'World 2010'!$I14)=0,1,('World 2010'!$B14+'World 2010'!$D14+'World 2010'!$E14+'World 2010'!$I14))*-1</f>
        <v>0.89679039831028529</v>
      </c>
      <c r="F105" s="40">
        <f>('World 2015'!$K14+'World 2015'!$H14)/IF(('World 2015'!$B14+'World 2015'!$D14+'World 2015'!$E14+'World 2015'!$I14)=0,1,('World 2015'!$B14+'World 2015'!$D14+'World 2015'!$E14+'World 2015'!$I14))*-1</f>
        <v>0.88599941458417186</v>
      </c>
      <c r="G105" s="40">
        <f>('World 2018'!$K14+'World 2018'!$H14)/IF(('World 2018'!$B14+'World 2018'!$D14+'World 2018'!$E14+'World 2018'!$I14)=0,1,('World 2018'!$B14+'World 2018'!$D14+'World 2018'!$E14+'World 2018'!$I14))*-1</f>
        <v>0.94105142362646144</v>
      </c>
      <c r="H105" s="77">
        <f t="shared" si="1"/>
        <v>0.94105142362646144</v>
      </c>
      <c r="I105" s="77">
        <f t="shared" si="1"/>
        <v>0.94105142362646144</v>
      </c>
    </row>
    <row r="106" spans="1:9" x14ac:dyDescent="0.35">
      <c r="A106" s="30" t="s">
        <v>170</v>
      </c>
      <c r="B106" s="40">
        <f>'World 1995'!$D16/IF('World 1995'!$C16=0,1,'World 1995'!$C16)*-1</f>
        <v>0.98596631463630668</v>
      </c>
      <c r="C106" s="40">
        <f>'World 2000'!$D16/IF('World 2000'!$C16=0,1,'World 2000'!$C16)*-1</f>
        <v>0.99201549341635742</v>
      </c>
      <c r="D106" s="40">
        <f>'World 2005'!$D16/IF('World 2005'!$C16=0,1,'World 2005'!$C16)*-1</f>
        <v>0.9887567842353101</v>
      </c>
      <c r="E106" s="40">
        <f>'World 2010'!$D16/IF('World 2010'!$C16=0,1,'World 2010'!$C16)*-1</f>
        <v>0.99026257085932945</v>
      </c>
      <c r="F106" s="40">
        <f>'World 2015'!$D16/IF('World 2015'!$C16=0,1,'World 2015'!$C16)*-1</f>
        <v>0.98075748240262839</v>
      </c>
      <c r="G106" s="40">
        <f>'World 2018'!$D16/IF('World 2018'!$C16=0,1,'World 2018'!$C16)*-1</f>
        <v>0.97874257386247188</v>
      </c>
      <c r="H106" s="77">
        <f t="shared" si="1"/>
        <v>0.97874257386247188</v>
      </c>
      <c r="I106" s="77">
        <f t="shared" si="1"/>
        <v>0.97874257386247188</v>
      </c>
    </row>
    <row r="107" spans="1:9" x14ac:dyDescent="0.35">
      <c r="A107" s="32" t="s">
        <v>179</v>
      </c>
      <c r="B107" s="82"/>
      <c r="C107" s="82"/>
      <c r="D107" s="82"/>
      <c r="E107" s="82"/>
      <c r="F107" s="82"/>
      <c r="G107" s="82"/>
      <c r="H107" s="42"/>
      <c r="I107" s="42"/>
    </row>
    <row r="108" spans="1:9" x14ac:dyDescent="0.35">
      <c r="A108" s="30" t="s">
        <v>141</v>
      </c>
      <c r="B108" s="40">
        <f>'World 1995'!$B12/('World 1995'!$L12-'World 1995'!$J12-'World 1995'!$G12-'World 1995'!$H12)</f>
        <v>0.48575842589886958</v>
      </c>
      <c r="C108" s="40">
        <f>'World 2000'!$B12/('World 2000'!$L12-'World 2000'!$J12-'World 2000'!$G12-'World 2000'!$H12)</f>
        <v>0.48827362479447212</v>
      </c>
      <c r="D108" s="40">
        <f>'World 2005'!$B12/('World 2005'!$L12-'World 2005'!$J12-'World 2005'!$G12-'World 2005'!$H12)</f>
        <v>0.47810455477755837</v>
      </c>
      <c r="E108" s="40">
        <f>'World 2010'!$B12/('World 2010'!$L12-'World 2010'!$J12-'World 2010'!$G12-'World 2010'!$H12)</f>
        <v>0.48017826846991585</v>
      </c>
      <c r="F108" s="40">
        <f>'World 2015'!$B12/('World 2015'!$L12-'World 2015'!$J12-'World 2015'!$G12-'World 2015'!$H12)</f>
        <v>0.48178741762369343</v>
      </c>
      <c r="G108" s="40">
        <f>'World 2018'!$B12/('World 2018'!$L12-'World 2018'!$J12-'World 2018'!$G12-'World 2018'!$H12)</f>
        <v>0.47704381789332356</v>
      </c>
      <c r="H108" s="89">
        <f>1-H109-H110-H111-H112-H113</f>
        <v>0.47728684378263292</v>
      </c>
      <c r="I108" s="89">
        <f>1-I109-I110-I111-I112-I113</f>
        <v>0.47728684378263292</v>
      </c>
    </row>
    <row r="109" spans="1:9" x14ac:dyDescent="0.35">
      <c r="A109" s="30" t="s">
        <v>142</v>
      </c>
      <c r="B109" s="40">
        <f>'World 1995'!$C12/('World 1995'!$L12-'World 1995'!$J12-'World 1995'!$G12-'World 1995'!$H12)</f>
        <v>1.6855073622196334E-2</v>
      </c>
      <c r="C109" s="40">
        <f>'World 2000'!$C12/('World 2000'!$L12-'World 2000'!$J12-'World 2000'!$G12-'World 2000'!$H12)</f>
        <v>8.6018330647226054E-3</v>
      </c>
      <c r="D109" s="40">
        <f>'World 2005'!$C12/('World 2005'!$L12-'World 2005'!$J12-'World 2005'!$G12-'World 2005'!$H12)</f>
        <v>7.7849714395379606E-3</v>
      </c>
      <c r="E109" s="40">
        <f>'World 2010'!$C12/('World 2010'!$L12-'World 2010'!$J12-'World 2010'!$G12-'World 2010'!$H12)</f>
        <v>1.0326372019074048E-2</v>
      </c>
      <c r="F109" s="40">
        <f>'World 2015'!$C12/('World 2015'!$L12-'World 2015'!$J12-'World 2015'!$G12-'World 2015'!$H12)</f>
        <v>1.3283076749872344E-2</v>
      </c>
      <c r="G109" s="40">
        <f>'World 2018'!$C12/('World 2018'!$L12-'World 2018'!$J12-'World 2018'!$G12-'World 2018'!$H12)</f>
        <v>8.3640506123113228E-3</v>
      </c>
      <c r="H109" s="77">
        <f t="shared" si="1"/>
        <v>8.3640506123113228E-3</v>
      </c>
      <c r="I109" s="77">
        <f t="shared" si="1"/>
        <v>8.3640506123113228E-3</v>
      </c>
    </row>
    <row r="110" spans="1:9" x14ac:dyDescent="0.35">
      <c r="A110" s="30" t="s">
        <v>143</v>
      </c>
      <c r="B110" s="40">
        <f>'World 1995'!$D12/('World 1995'!$L12-'World 1995'!$J12-'World 1995'!$G12-'World 1995'!$H12)</f>
        <v>9.8285664866678113E-2</v>
      </c>
      <c r="C110" s="40">
        <f>'World 2000'!$D12/('World 2000'!$L12-'World 2000'!$J12-'World 2000'!$G12-'World 2000'!$H12)</f>
        <v>9.4529886828306681E-2</v>
      </c>
      <c r="D110" s="40">
        <f>'World 2005'!$D12/('World 2005'!$L12-'World 2005'!$J12-'World 2005'!$G12-'World 2005'!$H12)</f>
        <v>7.6285766196561841E-2</v>
      </c>
      <c r="E110" s="40">
        <f>'World 2010'!$D12/('World 2010'!$L12-'World 2010'!$J12-'World 2010'!$G12-'World 2010'!$H12)</f>
        <v>5.8702965979847831E-2</v>
      </c>
      <c r="F110" s="40">
        <f>'World 2015'!$D12/('World 2015'!$L12-'World 2015'!$J12-'World 2015'!$G12-'World 2015'!$H12)</f>
        <v>5.3877812038434801E-2</v>
      </c>
      <c r="G110" s="40">
        <f>'World 2018'!$D12/('World 2018'!$L12-'World 2018'!$J12-'World 2018'!$G12-'World 2018'!$H12)</f>
        <v>3.9637359805796274E-2</v>
      </c>
      <c r="H110" s="77">
        <f t="shared" si="1"/>
        <v>3.9637359805796274E-2</v>
      </c>
      <c r="I110" s="77">
        <f t="shared" si="1"/>
        <v>3.9637359805796274E-2</v>
      </c>
    </row>
    <row r="111" spans="1:9" x14ac:dyDescent="0.35">
      <c r="A111" s="30" t="s">
        <v>144</v>
      </c>
      <c r="B111" s="40">
        <f>'World 1995'!$E12/('World 1995'!$L12-'World 1995'!$J12-'World 1995'!$G12-'World 1995'!$H12)</f>
        <v>0.1273235292704521</v>
      </c>
      <c r="C111" s="40">
        <f>'World 2000'!$E12/('World 2000'!$L12-'World 2000'!$J12-'World 2000'!$G12-'World 2000'!$H12)</f>
        <v>0.1514379923605037</v>
      </c>
      <c r="D111" s="40">
        <f>'World 2005'!$E12/('World 2005'!$L12-'World 2005'!$J12-'World 2005'!$G12-'World 2005'!$H12)</f>
        <v>0.18223337120487756</v>
      </c>
      <c r="E111" s="40">
        <f>'World 2010'!$E12/('World 2010'!$L12-'World 2010'!$J12-'World 2010'!$G12-'World 2010'!$H12)</f>
        <v>0.21481180937709363</v>
      </c>
      <c r="F111" s="40">
        <f>'World 2015'!$E12/('World 2015'!$L12-'World 2015'!$J12-'World 2015'!$G12-'World 2015'!$H12)</f>
        <v>0.23382426940363313</v>
      </c>
      <c r="G111" s="40">
        <f>'World 2018'!$E12/('World 2018'!$L12-'World 2018'!$J12-'World 2018'!$G12-'World 2018'!$H12)</f>
        <v>0.24706917829583519</v>
      </c>
      <c r="H111" s="77">
        <f t="shared" si="1"/>
        <v>0.24706917829583519</v>
      </c>
      <c r="I111" s="77">
        <f t="shared" si="1"/>
        <v>0.24706917829583519</v>
      </c>
    </row>
    <row r="112" spans="1:9" x14ac:dyDescent="0.35">
      <c r="A112" s="30" t="s">
        <v>180</v>
      </c>
      <c r="B112" s="40">
        <f>'World 1995'!$F12/('World 1995'!$L12-'World 1995'!$J12-'World 1995'!$G12-'World 1995'!$H12)</f>
        <v>0.26245326952786663</v>
      </c>
      <c r="C112" s="40">
        <f>'World 2000'!$F12/('World 2000'!$L12-'World 2000'!$J12-'World 2000'!$G12-'World 2000'!$H12)</f>
        <v>0.24756659400117509</v>
      </c>
      <c r="D112" s="40">
        <f>'World 2005'!$F12/('World 2005'!$L12-'World 2005'!$J12-'World 2005'!$G12-'World 2005'!$H12)</f>
        <v>0.24212495155271627</v>
      </c>
      <c r="E112" s="40">
        <f>'World 2010'!$F12/('World 2010'!$L12-'World 2010'!$J12-'World 2010'!$G12-'World 2010'!$H12)</f>
        <v>0.21553934302590366</v>
      </c>
      <c r="F112" s="40">
        <f>'World 2015'!$F12/('World 2015'!$L12-'World 2015'!$J12-'World 2015'!$G12-'World 2015'!$H12)</f>
        <v>0.1893317057378171</v>
      </c>
      <c r="G112" s="40">
        <f>'World 2018'!$F12/('World 2018'!$L12-'World 2018'!$J12-'World 2018'!$G12-'World 2018'!$H12)</f>
        <v>0.19078427383810029</v>
      </c>
      <c r="H112" s="77">
        <f t="shared" si="1"/>
        <v>0.19078427383810029</v>
      </c>
      <c r="I112" s="77">
        <f t="shared" si="1"/>
        <v>0.19078427383810029</v>
      </c>
    </row>
    <row r="113" spans="1:11" x14ac:dyDescent="0.35">
      <c r="A113" s="30" t="s">
        <v>146</v>
      </c>
      <c r="B113" s="40">
        <f>'World 1995'!$I12/('World 1995'!$L12-'World 1995'!$J12-'World 1995'!$G12-'World 1995'!$H12)</f>
        <v>9.2851630013902845E-3</v>
      </c>
      <c r="C113" s="40">
        <f>'World 2000'!$I12/('World 2000'!$L12-'World 2000'!$J12-'World 2000'!$G12-'World 2000'!$H12)</f>
        <v>9.5064518372825774E-3</v>
      </c>
      <c r="D113" s="40">
        <f>'World 2005'!$I12/('World 2005'!$L12-'World 2005'!$J12-'World 2005'!$G12-'World 2005'!$H12)</f>
        <v>1.3290832666064676E-2</v>
      </c>
      <c r="E113" s="40">
        <f>'World 2010'!$I12/('World 2010'!$L12-'World 2010'!$J12-'World 2010'!$G12-'World 2010'!$H12)</f>
        <v>2.0268826864869336E-2</v>
      </c>
      <c r="F113" s="40">
        <f>'World 2015'!$I12/('World 2015'!$L12-'World 2015'!$J12-'World 2015'!$G12-'World 2015'!$H12)</f>
        <v>2.7645692801061595E-2</v>
      </c>
      <c r="G113" s="40">
        <f>'World 2018'!$I12/('World 2018'!$L12-'World 2018'!$J12-'World 2018'!$G12-'World 2018'!$H12)</f>
        <v>3.685829366532406E-2</v>
      </c>
      <c r="H113" s="77">
        <f t="shared" si="1"/>
        <v>3.685829366532406E-2</v>
      </c>
      <c r="I113" s="77">
        <f t="shared" si="1"/>
        <v>3.685829366532406E-2</v>
      </c>
    </row>
    <row r="114" spans="1:11" x14ac:dyDescent="0.35">
      <c r="A114" s="32" t="s">
        <v>181</v>
      </c>
      <c r="B114" s="82"/>
      <c r="C114" s="82"/>
      <c r="D114" s="82"/>
      <c r="E114" s="82"/>
      <c r="F114" s="82"/>
      <c r="G114" s="82"/>
      <c r="H114" s="42"/>
      <c r="I114" s="42"/>
    </row>
    <row r="115" spans="1:11" x14ac:dyDescent="0.35">
      <c r="A115" s="30" t="s">
        <v>141</v>
      </c>
      <c r="B115" s="40">
        <f>'World 1995'!$B13/IF(('World 1995'!$L13-'World 1995'!$J13-'World 1995'!$K13-'World 1995'!$G13-'World 1995'!$H13)=0,1,('World 1995'!$L13-'World 1995'!$J13-'World 1995'!$K13-'World 1995'!$G13-'World 1995'!$H13))</f>
        <v>0.34881666027953784</v>
      </c>
      <c r="C115" s="40">
        <f>'World 2000'!$B13/IF(('World 2000'!$L13-'World 2000'!$J13-'World 2000'!$K13-'World 2000'!$G13-'World 2000'!$H13)=0,1,('World 2000'!$L13-'World 2000'!$J13-'World 2000'!$K13-'World 2000'!$G13-'World 2000'!$H13))</f>
        <v>0.35786704945543091</v>
      </c>
      <c r="D115" s="40">
        <f>'World 2005'!$B13/IF(('World 2005'!$L13-'World 2005'!$J13-'World 2005'!$K13-'World 2005'!$G13-'World 2005'!$H13)=0,1,('World 2005'!$L13-'World 2005'!$J13-'World 2005'!$K13-'World 2005'!$G13-'World 2005'!$H13))</f>
        <v>0.55330460781075019</v>
      </c>
      <c r="E115" s="40">
        <f>'World 2010'!$B13/IF(('World 2010'!$L13-'World 2010'!$J13-'World 2010'!$K13-'World 2010'!$G13-'World 2010'!$H13)=0,1,('World 2010'!$L13-'World 2010'!$J13-'World 2010'!$K13-'World 2010'!$G13-'World 2010'!$H13))</f>
        <v>0.5895792001230612</v>
      </c>
      <c r="F115" s="40">
        <f>'World 2015'!$B13/IF(('World 2015'!$L13-'World 2015'!$J13-'World 2015'!$K13-'World 2015'!$G13-'World 2015'!$H13)=0,1,('World 2015'!$L13-'World 2015'!$J13-'World 2015'!$K13-'World 2015'!$G13-'World 2015'!$H13))</f>
        <v>0.60309433108874755</v>
      </c>
      <c r="G115" s="40">
        <f>'World 2018'!$B13/IF(('World 2018'!$L13-'World 2018'!$J13-'World 2018'!$K13-'World 2018'!$G13-'World 2018'!$H13)=0,1,('World 2018'!$L13-'World 2018'!$J13-'World 2018'!$K13-'World 2018'!$G13-'World 2018'!$H13))</f>
        <v>0.61853080616406841</v>
      </c>
      <c r="H115" s="89">
        <f>1-H116-H117-H118-H119-H120</f>
        <v>0.61853080616406841</v>
      </c>
      <c r="I115" s="89">
        <f>1-I116-I117-I118-I119-I120</f>
        <v>0.61853080616406841</v>
      </c>
    </row>
    <row r="116" spans="1:11" x14ac:dyDescent="0.35">
      <c r="A116" s="30" t="s">
        <v>142</v>
      </c>
      <c r="B116" s="40">
        <f>'World 1995'!$C13/IF(('World 1995'!$L13-'World 1995'!$J13-'World 1995'!$K13-'World 1995'!$G13-'World 1995'!$H13)=0,1,('World 1995'!$L13-'World 1995'!$J13-'World 1995'!$K13-'World 1995'!$G13-'World 1995'!$H13))</f>
        <v>1.7572877801980474E-3</v>
      </c>
      <c r="C116" s="40">
        <f>'World 2000'!$C13/IF(('World 2000'!$L13-'World 2000'!$J13-'World 2000'!$K13-'World 2000'!$G13-'World 2000'!$H13)=0,1,('World 2000'!$L13-'World 2000'!$J13-'World 2000'!$K13-'World 2000'!$G13-'World 2000'!$H13))</f>
        <v>1.8467638445592446E-3</v>
      </c>
      <c r="D116" s="40">
        <f>'World 2005'!$C13/IF(('World 2005'!$L13-'World 2005'!$J13-'World 2005'!$K13-'World 2005'!$G13-'World 2005'!$H13)=0,1,('World 2005'!$L13-'World 2005'!$J13-'World 2005'!$K13-'World 2005'!$G13-'World 2005'!$H13))</f>
        <v>7.2748002113269834E-5</v>
      </c>
      <c r="E116" s="40">
        <f>'World 2010'!$C13/IF(('World 2010'!$L13-'World 2010'!$J13-'World 2010'!$K13-'World 2010'!$G13-'World 2010'!$H13)=0,1,('World 2010'!$L13-'World 2010'!$J13-'World 2010'!$K13-'World 2010'!$G13-'World 2010'!$H13))</f>
        <v>1.1589670863883531E-5</v>
      </c>
      <c r="F116" s="40">
        <f>'World 2015'!$C13/IF(('World 2015'!$L13-'World 2015'!$J13-'World 2015'!$K13-'World 2015'!$G13-'World 2015'!$H13)=0,1,('World 2015'!$L13-'World 2015'!$J13-'World 2015'!$K13-'World 2015'!$G13-'World 2015'!$H13))</f>
        <v>6.8234367506404284E-6</v>
      </c>
      <c r="G116" s="40">
        <f>'World 2018'!$C13/IF(('World 2018'!$L13-'World 2018'!$J13-'World 2018'!$K13-'World 2018'!$G13-'World 2018'!$H13)=0,1,('World 2018'!$L13-'World 2018'!$J13-'World 2018'!$K13-'World 2018'!$G13-'World 2018'!$H13))</f>
        <v>1.920897443285503E-5</v>
      </c>
      <c r="H116" s="77">
        <f t="shared" si="1"/>
        <v>1.920897443285503E-5</v>
      </c>
      <c r="I116" s="77">
        <f t="shared" si="1"/>
        <v>1.920897443285503E-5</v>
      </c>
    </row>
    <row r="117" spans="1:11" x14ac:dyDescent="0.35">
      <c r="A117" s="30" t="s">
        <v>143</v>
      </c>
      <c r="B117" s="40">
        <f>'World 1995'!$D13/IF('World 1995'!$L13-'World 1995'!$J13-'World 1995'!$K13-'World 1995'!$G13-'World 1995'!$H13=0,1,('World 1995'!$L13-'World 1995'!$J13-'World 1995'!$K13-'World 1995'!$G13-'World 1995'!$H13))</f>
        <v>8.1357460133395024E-2</v>
      </c>
      <c r="C117" s="40">
        <f>'World 2000'!$D13/IF('World 2000'!$L13-'World 2000'!$J13-'World 2000'!$K13-'World 2000'!$G13-'World 2000'!$H13=0,1,('World 2000'!$L13-'World 2000'!$J13-'World 2000'!$K13-'World 2000'!$G13-'World 2000'!$H13))</f>
        <v>8.1784080813398705E-2</v>
      </c>
      <c r="D117" s="40">
        <f>'World 2005'!$D13/IF('World 2005'!$L13-'World 2005'!$J13-'World 2005'!$K13-'World 2005'!$G13-'World 2005'!$H13=0,1,('World 2005'!$L13-'World 2005'!$J13-'World 2005'!$K13-'World 2005'!$G13-'World 2005'!$H13))</f>
        <v>4.0333400515914518E-2</v>
      </c>
      <c r="E117" s="40">
        <f>'World 2010'!$D13/IF('World 2010'!$L13-'World 2010'!$J13-'World 2010'!$K13-'World 2010'!$G13-'World 2010'!$H13=0,1,('World 2010'!$L13-'World 2010'!$J13-'World 2010'!$K13-'World 2010'!$G13-'World 2010'!$H13))</f>
        <v>2.2618823100531964E-2</v>
      </c>
      <c r="F117" s="40">
        <f>'World 2015'!$D13/IF('World 2015'!$L13-'World 2015'!$J13-'World 2015'!$K13-'World 2015'!$G13-'World 2015'!$H13=0,1,('World 2015'!$L13-'World 2015'!$J13-'World 2015'!$K13-'World 2015'!$G13-'World 2015'!$H13))</f>
        <v>1.8021671235120034E-2</v>
      </c>
      <c r="G117" s="40">
        <f>'World 2018'!$D13/IF('World 2018'!$L13-'World 2018'!$J13-'World 2018'!$K13-'World 2018'!$G13-'World 2018'!$H13=0,1,('World 2018'!$L13-'World 2018'!$J13-'World 2018'!$K13-'World 2018'!$G13-'World 2018'!$H13))</f>
        <v>1.4163417148491775E-2</v>
      </c>
      <c r="H117" s="77">
        <f t="shared" si="1"/>
        <v>1.4163417148491775E-2</v>
      </c>
      <c r="I117" s="77">
        <f t="shared" si="1"/>
        <v>1.4163417148491775E-2</v>
      </c>
    </row>
    <row r="118" spans="1:11" x14ac:dyDescent="0.35">
      <c r="A118" s="30" t="s">
        <v>144</v>
      </c>
      <c r="B118" s="40">
        <f>'World 1995'!$E13/IF(('World 1995'!$L13-'World 1995'!$J13-'World 1995'!$K13-'World 1995'!$G13-'World 1995'!$H13)=0,1,('World 1995'!$L13-'World 1995'!$J13-'World 1995'!$K13-'World 1995'!$G13-'World 1995'!$H13))</f>
        <v>0.47194792868390067</v>
      </c>
      <c r="C118" s="40">
        <f>'World 2000'!$E13/IF(('World 2000'!$L13-'World 2000'!$J13-'World 2000'!$K13-'World 2000'!$G13-'World 2000'!$H13)=0,1,('World 2000'!$L13-'World 2000'!$J13-'World 2000'!$K13-'World 2000'!$G13-'World 2000'!$H13))</f>
        <v>0.49391472804448683</v>
      </c>
      <c r="D118" s="40">
        <f>'World 2005'!$E13/IF(('World 2005'!$L13-'World 2005'!$J13-'World 2005'!$K13-'World 2005'!$G13-'World 2005'!$H13)=0,1,('World 2005'!$L13-'World 2005'!$J13-'World 2005'!$K13-'World 2005'!$G13-'World 2005'!$H13))</f>
        <v>0.35233288531694873</v>
      </c>
      <c r="E118" s="40">
        <f>'World 2010'!$E13/IF(('World 2010'!$L13-'World 2010'!$J13-'World 2010'!$K13-'World 2010'!$G13-'World 2010'!$H13)=0,1,('World 2010'!$L13-'World 2010'!$J13-'World 2010'!$K13-'World 2010'!$G13-'World 2010'!$H13))</f>
        <v>0.33463383488512</v>
      </c>
      <c r="F118" s="40">
        <f>'World 2015'!$E13/IF(('World 2015'!$L13-'World 2015'!$J13-'World 2015'!$K13-'World 2015'!$G13-'World 2015'!$H13)=0,1,('World 2015'!$L13-'World 2015'!$J13-'World 2015'!$K13-'World 2015'!$G13-'World 2015'!$H13))</f>
        <v>0.31337900486998427</v>
      </c>
      <c r="G118" s="40">
        <f>'World 2018'!$E13/IF(('World 2018'!$L13-'World 2018'!$J13-'World 2018'!$K13-'World 2018'!$G13-'World 2018'!$H13)=0,1,('World 2018'!$L13-'World 2018'!$J13-'World 2018'!$K13-'World 2018'!$G13-'World 2018'!$H13))</f>
        <v>0.30498454592271224</v>
      </c>
      <c r="H118" s="77">
        <f t="shared" si="1"/>
        <v>0.30498454592271224</v>
      </c>
      <c r="I118" s="77">
        <f t="shared" si="1"/>
        <v>0.30498454592271224</v>
      </c>
    </row>
    <row r="119" spans="1:11" x14ac:dyDescent="0.35">
      <c r="A119" s="30" t="s">
        <v>180</v>
      </c>
      <c r="B119" s="40">
        <f>'World 1995'!$F13/IF(('World 1995'!$L13-'World 1995'!$J13-'World 1995'!$K13-'World 1995'!$G13-'World 1995'!$H13)=0,1,('World 1995'!$L13-'World 1995'!$J13-'World 1995'!$K13-'World 1995'!$G13-'World 1995'!$H13))</f>
        <v>1.4340262540779998E-2</v>
      </c>
      <c r="C119" s="40">
        <f>'World 2000'!$F13/IF(('World 2000'!$L13-'World 2000'!$J13-'World 2000'!$K13-'World 2000'!$G13-'World 2000'!$H13)=0,1,('World 2000'!$L13-'World 2000'!$J13-'World 2000'!$K13-'World 2000'!$G13-'World 2000'!$H13))</f>
        <v>1.3048682175644106E-2</v>
      </c>
      <c r="D119" s="40">
        <f>'World 2005'!$F13/IF(('World 2005'!$L13-'World 2005'!$J13-'World 2005'!$K13-'World 2005'!$G13-'World 2005'!$H13)=0,1,('World 2005'!$L13-'World 2005'!$J13-'World 2005'!$K13-'World 2005'!$G13-'World 2005'!$H13))</f>
        <v>1.3603876395181458E-2</v>
      </c>
      <c r="E119" s="40">
        <f>'World 2010'!$F13/IF(('World 2010'!$L13-'World 2010'!$J13-'World 2010'!$K13-'World 2010'!$G13-'World 2010'!$H13)=0,1,('World 2010'!$L13-'World 2010'!$J13-'World 2010'!$K13-'World 2010'!$G13-'World 2010'!$H13))</f>
        <v>7.788258820529732E-3</v>
      </c>
      <c r="F119" s="40">
        <f>'World 2015'!$F13/IF(('World 2015'!$L13-'World 2015'!$J13-'World 2015'!$K13-'World 2015'!$G13-'World 2015'!$H13)=0,1,('World 2015'!$L13-'World 2015'!$J13-'World 2015'!$K13-'World 2015'!$G13-'World 2015'!$H13))</f>
        <v>7.3878324475862584E-3</v>
      </c>
      <c r="G119" s="40">
        <f>'World 2018'!$F13/IF(('World 2018'!$L13-'World 2018'!$J13-'World 2018'!$K13-'World 2018'!$G13-'World 2018'!$H13)=0,1,('World 2018'!$L13-'World 2018'!$J13-'World 2018'!$K13-'World 2018'!$G13-'World 2018'!$H13))</f>
        <v>3.1292334064189076E-3</v>
      </c>
      <c r="H119" s="77">
        <f t="shared" si="1"/>
        <v>3.1292334064189076E-3</v>
      </c>
      <c r="I119" s="77">
        <f t="shared" si="1"/>
        <v>3.1292334064189076E-3</v>
      </c>
    </row>
    <row r="120" spans="1:11" x14ac:dyDescent="0.35">
      <c r="A120" s="30" t="s">
        <v>146</v>
      </c>
      <c r="B120" s="40">
        <f>'World 1995'!$I13/IF(('World 1995'!$L13-'World 1995'!$J13-'World 1995'!$K13-'World 1995'!$G13-'World 1995'!$H13)=0,1,('World 1995'!$L13-'World 1995'!$J13-'World 1995'!$K13-'World 1995'!$G13-'World 1995'!$H13))</f>
        <v>8.1778414946278619E-2</v>
      </c>
      <c r="C120" s="40">
        <f>'World 2000'!$I13/IF(('World 2000'!$L13-'World 2000'!$J13-'World 2000'!$K13-'World 2000'!$G13-'World 2000'!$H13)=0,1,('World 2000'!$L13-'World 2000'!$J13-'World 2000'!$K13-'World 2000'!$G13-'World 2000'!$H13))</f>
        <v>5.1540752196373926E-2</v>
      </c>
      <c r="D120" s="40">
        <f>'World 2005'!$I13/IF(('World 2005'!$L13-'World 2005'!$J13-'World 2005'!$K13-'World 2005'!$G13-'World 2005'!$H13)=0,1,('World 2005'!$L13-'World 2005'!$J13-'World 2005'!$K13-'World 2005'!$G13-'World 2005'!$H13))</f>
        <v>4.0351289368893192E-2</v>
      </c>
      <c r="E120" s="40">
        <f>'World 2010'!$I13/IF(('World 2010'!$L13-'World 2010'!$J13-'World 2010'!$K13-'World 2010'!$G13-'World 2010'!$H13)=0,1,('World 2010'!$L13-'World 2010'!$J13-'World 2010'!$K13-'World 2010'!$G13-'World 2010'!$H13))</f>
        <v>4.5369347006335332E-2</v>
      </c>
      <c r="F120" s="40">
        <f>'World 2015'!$I13/IF(('World 2015'!$L13-'World 2015'!$J13-'World 2015'!$K13-'World 2015'!$G13-'World 2015'!$H13)=0,1,('World 2015'!$L13-'World 2015'!$J13-'World 2015'!$K13-'World 2015'!$G13-'World 2015'!$H13))</f>
        <v>5.810936214513255E-2</v>
      </c>
      <c r="G120" s="40">
        <f>'World 2018'!$I13/IF(('World 2018'!$L13-'World 2018'!$J13-'World 2018'!$K13-'World 2018'!$G13-'World 2018'!$H13)=0,1,('World 2018'!$L13-'World 2018'!$J13-'World 2018'!$K13-'World 2018'!$G13-'World 2018'!$H13))</f>
        <v>5.9172788383875803E-2</v>
      </c>
      <c r="H120" s="77">
        <f t="shared" si="1"/>
        <v>5.9172788383875803E-2</v>
      </c>
      <c r="I120" s="77">
        <f t="shared" si="1"/>
        <v>5.9172788383875803E-2</v>
      </c>
    </row>
    <row r="121" spans="1:11" x14ac:dyDescent="0.35">
      <c r="A121" s="32" t="s">
        <v>182</v>
      </c>
      <c r="B121" s="82"/>
      <c r="C121" s="82"/>
      <c r="D121" s="82"/>
      <c r="E121" s="82"/>
      <c r="F121" s="82"/>
      <c r="G121" s="82"/>
      <c r="H121" s="42"/>
      <c r="I121" s="42"/>
    </row>
    <row r="122" spans="1:11" x14ac:dyDescent="0.35">
      <c r="A122" s="30" t="s">
        <v>141</v>
      </c>
      <c r="B122" s="40">
        <f>'World 1995'!$B14/IF(('World 1995'!$L14-'World 1995'!$J14-'World 1995'!$K14-'World 1995'!$G14-'World 1995'!$H14)=0,1,('World 1995'!$L14-'World 1995'!$J14-'World 1995'!$K14-'World 1995'!$G14-'World 1995'!$H14))</f>
        <v>0.30228454019305689</v>
      </c>
      <c r="C122" s="40">
        <f>'World 2000'!$B14/IF(('World 2000'!$L14-'World 2000'!$J14-'World 2000'!$K14-'World 2000'!$G14-'World 2000'!$H14)=0,1,('World 2000'!$L14-'World 2000'!$J14-'World 2000'!$K14-'World 2000'!$G14-'World 2000'!$H14))</f>
        <v>0.35088619402985077</v>
      </c>
      <c r="D122" s="40">
        <f>'World 2005'!$B14/IF(('World 2005'!$L14-'World 2005'!$J14-'World 2005'!$K14-'World 2005'!$G14-'World 2005'!$H14)=0,1,('World 2005'!$L14-'World 2005'!$J14-'World 2005'!$K14-'World 2005'!$G14-'World 2005'!$H14))</f>
        <v>0.16729537366548042</v>
      </c>
      <c r="E122" s="40">
        <f>'World 2010'!$B14/IF(('World 2010'!$L14-'World 2010'!$J14-'World 2010'!$K14-'World 2010'!$G14-'World 2010'!$H14)=0,1,('World 2010'!$L14-'World 2010'!$J14-'World 2010'!$K14-'World 2010'!$G14-'World 2010'!$H14))</f>
        <v>0.1928684436435357</v>
      </c>
      <c r="F122" s="40">
        <f>'World 2015'!$B14/IF(('World 2015'!$L14-'World 2015'!$J14-'World 2015'!$K14-'World 2015'!$G14-'World 2015'!$H14)=0,1,('World 2015'!$L14-'World 2015'!$J14-'World 2015'!$K14-'World 2015'!$G14-'World 2015'!$H14))</f>
        <v>0.2178870511643132</v>
      </c>
      <c r="G122" s="40">
        <f>'World 2018'!$B14/IF(('World 2018'!$L14-'World 2018'!$J14-'World 2018'!$K14-'World 2018'!$G14-'World 2018'!$H14)=0,1,('World 2018'!$L14-'World 2018'!$J14-'World 2018'!$K14-'World 2018'!$G14-'World 2018'!$H14))</f>
        <v>0.22563607929804189</v>
      </c>
      <c r="H122" s="77">
        <f t="shared" si="1"/>
        <v>0.22563607929804189</v>
      </c>
      <c r="I122" s="77">
        <f t="shared" si="1"/>
        <v>0.22563607929804189</v>
      </c>
    </row>
    <row r="123" spans="1:11" x14ac:dyDescent="0.35">
      <c r="A123" s="30" t="s">
        <v>142</v>
      </c>
      <c r="B123" s="40">
        <f>'World 1995'!$C14/IF(('World 1995'!$L14-'World 1995'!$J14-'World 1995'!$K14-'World 1995'!$G14-'World 1995'!$H14)=0,1,('World 1995'!$L14-'World 1995'!$J14-'World 1995'!$K14-'World 1995'!$G14-'World 1995'!$H14))</f>
        <v>2.4920407270655968E-4</v>
      </c>
      <c r="C123" s="40">
        <f>'World 2000'!$C14/IF(('World 2000'!$L14-'World 2000'!$J14-'World 2000'!$K14-'World 2000'!$G14-'World 2000'!$H14)=0,1,('World 2000'!$L14-'World 2000'!$J14-'World 2000'!$K14-'World 2000'!$G14-'World 2000'!$H14))</f>
        <v>5.9131426202321726E-3</v>
      </c>
      <c r="D123" s="40">
        <f>'World 2005'!$C14/IF(('World 2005'!$L14-'World 2005'!$J14-'World 2005'!$K14-'World 2005'!$G14-'World 2005'!$H14)=0,1,('World 2005'!$L14-'World 2005'!$J14-'World 2005'!$K14-'World 2005'!$G14-'World 2005'!$H14))</f>
        <v>5.6370106761565834E-3</v>
      </c>
      <c r="E123" s="40">
        <f>'World 2010'!$C14/IF(('World 2010'!$L14-'World 2010'!$J14-'World 2010'!$K14-'World 2010'!$G14-'World 2010'!$H14)=0,1,('World 2010'!$L14-'World 2010'!$J14-'World 2010'!$K14-'World 2010'!$G14-'World 2010'!$H14))</f>
        <v>5.7395832594305824E-3</v>
      </c>
      <c r="F123" s="40">
        <f>'World 2015'!$C14/IF(('World 2015'!$L14-'World 2015'!$J14-'World 2015'!$K14-'World 2015'!$G14-'World 2015'!$H14)=0,1,('World 2015'!$L14-'World 2015'!$J14-'World 2015'!$K14-'World 2015'!$G14-'World 2015'!$H14))</f>
        <v>5.946589803507942E-3</v>
      </c>
      <c r="G123" s="40">
        <f>'World 2018'!$C14/IF(('World 2018'!$L14-'World 2018'!$J14-'World 2018'!$K14-'World 2018'!$G14-'World 2018'!$H14)=0,1,('World 2018'!$L14-'World 2018'!$J14-'World 2018'!$K14-'World 2018'!$G14-'World 2018'!$H14))</f>
        <v>4.4293781078221135E-3</v>
      </c>
      <c r="H123" s="77">
        <f t="shared" si="1"/>
        <v>4.4293781078221135E-3</v>
      </c>
      <c r="I123" s="77">
        <f t="shared" si="1"/>
        <v>4.4293781078221135E-3</v>
      </c>
    </row>
    <row r="124" spans="1:11" x14ac:dyDescent="0.35">
      <c r="A124" s="30" t="s">
        <v>143</v>
      </c>
      <c r="B124" s="40">
        <f>'World 1995'!$D14/IF(('World 1995'!$L14-'World 1995'!$J14-'World 1995'!$K14-'World 1995'!$G14-'World 1995'!$H14)=0,1,('World 1995'!$L14-'World 1995'!$J14-'World 1995'!$K14-'World 1995'!$G14-'World 1995'!$H14))</f>
        <v>0.17195589596492833</v>
      </c>
      <c r="C124" s="40">
        <f>'World 2000'!$D14/IF(('World 2000'!$L14-'World 2000'!$J14-'World 2000'!$K14-'World 2000'!$G14-'World 2000'!$H14)=0,1,('World 2000'!$L14-'World 2000'!$J14-'World 2000'!$K14-'World 2000'!$G14-'World 2000'!$H14))</f>
        <v>0.10607898009950249</v>
      </c>
      <c r="D124" s="40">
        <f>'World 2005'!$D14/IF(('World 2005'!$L14-'World 2005'!$J14-'World 2005'!$K14-'World 2005'!$G14-'World 2005'!$H14)=0,1,('World 2005'!$L14-'World 2005'!$J14-'World 2005'!$K14-'World 2005'!$G14-'World 2005'!$H14))</f>
        <v>0.10623487544483985</v>
      </c>
      <c r="E124" s="40">
        <f>'World 2010'!$D14/IF(('World 2010'!$L14-'World 2010'!$J14-'World 2010'!$K14-'World 2010'!$G14-'World 2010'!$H14)=0,1,('World 2010'!$L14-'World 2010'!$J14-'World 2010'!$K14-'World 2010'!$G14-'World 2010'!$H14))</f>
        <v>0.10775375839830863</v>
      </c>
      <c r="F124" s="40">
        <f>'World 2015'!$D14/IF(('World 2015'!$L14-'World 2015'!$J14-'World 2015'!$K14-'World 2015'!$G14-'World 2015'!$H14)=0,1,('World 2015'!$L14-'World 2015'!$J14-'World 2015'!$K14-'World 2015'!$G14-'World 2015'!$H14))</f>
        <v>0.10493821547750025</v>
      </c>
      <c r="G124" s="40">
        <f>'World 2018'!$D14/IF(('World 2018'!$L14-'World 2018'!$J14-'World 2018'!$K14-'World 2018'!$G14-'World 2018'!$H14)=0,1,('World 2018'!$L14-'World 2018'!$J14-'World 2018'!$K14-'World 2018'!$G14-'World 2018'!$H14))</f>
        <v>9.2370794197795605E-2</v>
      </c>
      <c r="H124" s="77">
        <f t="shared" si="1"/>
        <v>9.2370794197795605E-2</v>
      </c>
      <c r="I124" s="77">
        <f t="shared" si="1"/>
        <v>9.2370794197795605E-2</v>
      </c>
    </row>
    <row r="125" spans="1:11" x14ac:dyDescent="0.35">
      <c r="A125" s="30" t="s">
        <v>144</v>
      </c>
      <c r="B125" s="40">
        <f>'World 1995'!$E14/IF(('World 1995'!$L14-'World 1995'!$J14-'World 1995'!$K14-'World 1995'!$G14-'World 1995'!$H14)=0,1,('World 1995'!$L14-'World 1995'!$J14-'World 1995'!$K14-'World 1995'!$G14-'World 1995'!$H14))</f>
        <v>0.4984335744001302</v>
      </c>
      <c r="C125" s="40">
        <f>'World 2000'!$E14/IF(('World 2000'!$L14-'World 2000'!$J14-'World 2000'!$K14-'World 2000'!$G14-'World 2000'!$H14)=0,1,('World 2000'!$L14-'World 2000'!$J14-'World 2000'!$K14-'World 2000'!$G14-'World 2000'!$H14))</f>
        <v>0.50700663349917086</v>
      </c>
      <c r="D125" s="40">
        <f>'World 2005'!$E14/IF(('World 2005'!$L14-'World 2005'!$J14-'World 2005'!$K14-'World 2005'!$G14-'World 2005'!$H14)=0,1,('World 2005'!$L14-'World 2005'!$J14-'World 2005'!$K14-'World 2005'!$G14-'World 2005'!$H14))</f>
        <v>0.6675160142348755</v>
      </c>
      <c r="E125" s="40">
        <f>'World 2010'!$E14/IF(('World 2010'!$L14-'World 2010'!$J14-'World 2010'!$K14-'World 2010'!$G14-'World 2010'!$H14)=0,1,('World 2010'!$L14-'World 2010'!$J14-'World 2010'!$K14-'World 2010'!$G14-'World 2010'!$H14))</f>
        <v>0.6174699008875425</v>
      </c>
      <c r="F125" s="40">
        <f>'World 2015'!$E14/IF(('World 2015'!$L14-'World 2015'!$J14-'World 2015'!$K14-'World 2015'!$G14-'World 2015'!$H14)=0,1,('World 2015'!$L14-'World 2015'!$J14-'World 2015'!$K14-'World 2015'!$G14-'World 2015'!$H14))</f>
        <v>0.56614444575782652</v>
      </c>
      <c r="G125" s="40">
        <f>'World 2018'!$E14/IF(('World 2018'!$L14-'World 2018'!$J14-'World 2018'!$K14-'World 2018'!$G14-'World 2018'!$H14)=0,1,('World 2018'!$L14-'World 2018'!$J14-'World 2018'!$K14-'World 2018'!$G14-'World 2018'!$H14))</f>
        <v>0.56112635433151981</v>
      </c>
      <c r="H125" s="89">
        <f>1-H122-H123-H124-H126-H127</f>
        <v>0.56113571876726576</v>
      </c>
      <c r="I125" s="89">
        <f>1-I122-I123-I124-I126-I127</f>
        <v>0.56113571876726576</v>
      </c>
    </row>
    <row r="126" spans="1:11" x14ac:dyDescent="0.35">
      <c r="A126" s="30" t="s">
        <v>180</v>
      </c>
      <c r="B126" s="40">
        <f>'World 1995'!$F14/IF(('World 1995'!$L14-'World 1995'!$J14-'World 1995'!$K14-'World 1995'!$G14-'World 1995'!$H14)=0,1,('World 1995'!$L14-'World 1995'!$J14-'World 1995'!$K14-'World 1995'!$G14-'World 1995'!$H14))</f>
        <v>0</v>
      </c>
      <c r="C126" s="40">
        <f>'World 2000'!$F14/IF(('World 2000'!$L14-'World 2000'!$J14-'World 2000'!$K14-'World 2000'!$G14-'World 2000'!$H14)=0,1,('World 2000'!$L14-'World 2000'!$J14-'World 2000'!$K14-'World 2000'!$G14-'World 2000'!$H14))</f>
        <v>0</v>
      </c>
      <c r="D126" s="40">
        <f>'World 2005'!$F14/IF(('World 2005'!$L14-'World 2005'!$J14-'World 2005'!$K14-'World 2005'!$G14-'World 2005'!$H14)=0,1,('World 2005'!$L14-'World 2005'!$J14-'World 2005'!$K14-'World 2005'!$G14-'World 2005'!$H14))</f>
        <v>0</v>
      </c>
      <c r="E126" s="40">
        <f>'World 2010'!$F14/IF(('World 2010'!$L14-'World 2010'!$J14-'World 2010'!$K14-'World 2010'!$G14-'World 2010'!$H14)=0,1,('World 2010'!$L14-'World 2010'!$J14-'World 2010'!$K14-'World 2010'!$G14-'World 2010'!$H14))</f>
        <v>0</v>
      </c>
      <c r="F126" s="40">
        <f>'World 2015'!$F14/IF(('World 2015'!$L14-'World 2015'!$J14-'World 2015'!$K14-'World 2015'!$G14-'World 2015'!$H14)=0,1,('World 2015'!$L14-'World 2015'!$J14-'World 2015'!$K14-'World 2015'!$G14-'World 2015'!$H14))</f>
        <v>0</v>
      </c>
      <c r="G126" s="40">
        <f>'World 2018'!$F14/IF(('World 2018'!$L14-'World 2018'!$J14-'World 2018'!$K14-'World 2018'!$G14-'World 2018'!$H14)=0,1,('World 2018'!$L14-'World 2018'!$J14-'World 2018'!$K14-'World 2018'!$G14-'World 2018'!$H14))</f>
        <v>0</v>
      </c>
      <c r="H126" s="77">
        <f t="shared" si="1"/>
        <v>0</v>
      </c>
      <c r="I126" s="77">
        <f t="shared" si="1"/>
        <v>0</v>
      </c>
      <c r="K126" s="7"/>
    </row>
    <row r="127" spans="1:11" x14ac:dyDescent="0.35">
      <c r="A127" s="30" t="s">
        <v>146</v>
      </c>
      <c r="B127" s="40">
        <f>'World 1995'!$I14/IF(('World 1995'!$L14-'World 1995'!$J14-'World 1995'!$K14-'World 1995'!$G14-'World 1995'!$H14)=0,1,('World 1995'!$L14-'World 1995'!$J14-'World 1995'!$K14-'World 1995'!$G14-'World 1995'!$H14))</f>
        <v>2.707169957177586E-2</v>
      </c>
      <c r="C127" s="40">
        <f>'World 2000'!$I14/IF(('World 2000'!$L14-'World 2000'!$J14-'World 2000'!$K14-'World 2000'!$G14-'World 2000'!$H14)=0,1,('World 2000'!$L14-'World 2000'!$J14-'World 2000'!$K14-'World 2000'!$G14-'World 2000'!$H14))</f>
        <v>3.011504975124378E-2</v>
      </c>
      <c r="D127" s="40">
        <f>'World 2005'!$I14/IF(('World 2005'!$L14-'World 2005'!$J14-'World 2005'!$K14-'World 2005'!$G14-'World 2005'!$H14)=0,1,('World 2005'!$L14-'World 2005'!$J14-'World 2005'!$K14-'World 2005'!$G14-'World 2005'!$H14))</f>
        <v>5.3316725978647686E-2</v>
      </c>
      <c r="E127" s="40">
        <f>'World 2010'!$I14/IF(('World 2010'!$L14-'World 2010'!$J14-'World 2010'!$K14-'World 2010'!$G14-'World 2010'!$H14)=0,1,('World 2010'!$L14-'World 2010'!$J14-'World 2010'!$K14-'World 2010'!$G14-'World 2010'!$H14))</f>
        <v>7.6168313811182609E-2</v>
      </c>
      <c r="F127" s="40">
        <f>'World 2015'!$I14/IF(('World 2015'!$L14-'World 2015'!$J14-'World 2015'!$K14-'World 2015'!$G14-'World 2015'!$H14)=0,1,('World 2015'!$L14-'World 2015'!$J14-'World 2015'!$K14-'World 2015'!$G14-'World 2015'!$H14))</f>
        <v>0.10507460515189264</v>
      </c>
      <c r="G127" s="40">
        <f>'World 2018'!$I14/IF(('World 2018'!$L14-'World 2018'!$J14-'World 2018'!$K14-'World 2018'!$G14-'World 2018'!$H14)=0,1,('World 2018'!$L14-'World 2018'!$J14-'World 2018'!$K14-'World 2018'!$G14-'World 2018'!$H14))</f>
        <v>0.1164280296290747</v>
      </c>
      <c r="H127" s="77">
        <f t="shared" si="1"/>
        <v>0.1164280296290747</v>
      </c>
      <c r="I127" s="77">
        <f t="shared" si="1"/>
        <v>0.1164280296290747</v>
      </c>
    </row>
    <row r="128" spans="1:11" x14ac:dyDescent="0.35">
      <c r="A128" s="32" t="s">
        <v>183</v>
      </c>
      <c r="B128" s="82"/>
      <c r="C128" s="82"/>
      <c r="D128" s="82"/>
      <c r="E128" s="82"/>
      <c r="F128" s="82"/>
      <c r="G128" s="82"/>
      <c r="H128" s="42"/>
      <c r="I128" s="42"/>
    </row>
    <row r="129" spans="1:9" x14ac:dyDescent="0.35">
      <c r="A129" s="30" t="s">
        <v>142</v>
      </c>
      <c r="B129" s="40">
        <v>1</v>
      </c>
      <c r="C129" s="40">
        <v>1</v>
      </c>
      <c r="D129" s="40">
        <v>1</v>
      </c>
      <c r="E129" s="40">
        <v>1</v>
      </c>
      <c r="F129" s="40">
        <v>1</v>
      </c>
      <c r="G129" s="40">
        <v>1</v>
      </c>
      <c r="H129" s="89">
        <f>1-H130</f>
        <v>1</v>
      </c>
      <c r="I129" s="89">
        <f>1-I130</f>
        <v>1</v>
      </c>
    </row>
    <row r="130" spans="1:9" x14ac:dyDescent="0.35">
      <c r="A130" s="30" t="s">
        <v>146</v>
      </c>
      <c r="B130" s="40">
        <v>0</v>
      </c>
      <c r="C130" s="40">
        <v>0</v>
      </c>
      <c r="D130" s="40">
        <v>0</v>
      </c>
      <c r="E130" s="40">
        <v>0</v>
      </c>
      <c r="F130" s="40">
        <v>0</v>
      </c>
      <c r="G130" s="40">
        <v>0</v>
      </c>
      <c r="H130" s="77">
        <f t="shared" si="1"/>
        <v>0</v>
      </c>
      <c r="I130" s="77">
        <f t="shared" si="1"/>
        <v>0</v>
      </c>
    </row>
    <row r="131" spans="1:9" x14ac:dyDescent="0.35">
      <c r="A131" s="30"/>
      <c r="B131" s="40">
        <v>0</v>
      </c>
      <c r="C131" s="40">
        <v>0</v>
      </c>
      <c r="D131" s="40">
        <v>0</v>
      </c>
      <c r="E131" s="40">
        <v>0</v>
      </c>
      <c r="F131" s="40">
        <v>0</v>
      </c>
      <c r="G131" s="40">
        <v>0</v>
      </c>
      <c r="H131" s="77">
        <f t="shared" si="1"/>
        <v>0</v>
      </c>
      <c r="I131" s="77">
        <f t="shared" si="1"/>
        <v>0</v>
      </c>
    </row>
    <row r="132" spans="1:9" x14ac:dyDescent="0.35">
      <c r="A132" s="32" t="s">
        <v>184</v>
      </c>
      <c r="B132" s="42"/>
      <c r="C132" s="42"/>
      <c r="D132" s="42"/>
      <c r="E132" s="42"/>
      <c r="F132" s="42"/>
      <c r="G132" s="42"/>
      <c r="H132" s="42"/>
      <c r="I132" s="42"/>
    </row>
    <row r="133" spans="1:9" x14ac:dyDescent="0.35">
      <c r="A133" s="30" t="s">
        <v>185</v>
      </c>
      <c r="H133" s="77">
        <v>0</v>
      </c>
      <c r="I133" s="77">
        <v>0</v>
      </c>
    </row>
    <row r="134" spans="1:9" x14ac:dyDescent="0.35">
      <c r="A134" s="30" t="s">
        <v>186</v>
      </c>
      <c r="H134" s="77">
        <v>0</v>
      </c>
      <c r="I134" s="77">
        <v>0</v>
      </c>
    </row>
    <row r="135" spans="1:9" x14ac:dyDescent="0.35">
      <c r="A135" s="30" t="s">
        <v>187</v>
      </c>
      <c r="H135" s="77">
        <v>0</v>
      </c>
      <c r="I135" s="77">
        <v>0</v>
      </c>
    </row>
    <row r="136" spans="1:9" x14ac:dyDescent="0.35">
      <c r="A136" s="30" t="s">
        <v>188</v>
      </c>
      <c r="H136" s="77">
        <v>0</v>
      </c>
      <c r="I136" s="77">
        <v>0</v>
      </c>
    </row>
    <row r="137" spans="1:9" x14ac:dyDescent="0.35">
      <c r="A137" s="32" t="s">
        <v>189</v>
      </c>
      <c r="B137" s="42"/>
      <c r="C137" s="42"/>
      <c r="D137" s="42"/>
      <c r="E137" s="42"/>
      <c r="F137" s="42"/>
      <c r="G137" s="42"/>
      <c r="H137" s="42"/>
      <c r="I137" s="42"/>
    </row>
    <row r="138" spans="1:9" x14ac:dyDescent="0.35">
      <c r="A138" s="30" t="s">
        <v>190</v>
      </c>
      <c r="G138" s="94">
        <v>0.8</v>
      </c>
      <c r="H138" s="93">
        <f>G138</f>
        <v>0.8</v>
      </c>
      <c r="I138" s="77">
        <f t="shared" ref="I138:I141" si="5">H138</f>
        <v>0.8</v>
      </c>
    </row>
    <row r="139" spans="1:9" x14ac:dyDescent="0.35">
      <c r="A139" s="30" t="s">
        <v>191</v>
      </c>
      <c r="G139" s="94">
        <v>0.3</v>
      </c>
      <c r="H139" s="93">
        <f t="shared" ref="H139:H141" si="6">G139</f>
        <v>0.3</v>
      </c>
      <c r="I139" s="77">
        <f t="shared" si="5"/>
        <v>0.3</v>
      </c>
    </row>
    <row r="140" spans="1:9" x14ac:dyDescent="0.35">
      <c r="A140" s="30" t="s">
        <v>192</v>
      </c>
      <c r="G140" s="94">
        <v>0.95</v>
      </c>
      <c r="H140" s="93">
        <f t="shared" si="6"/>
        <v>0.95</v>
      </c>
      <c r="I140" s="77">
        <f t="shared" si="5"/>
        <v>0.95</v>
      </c>
    </row>
    <row r="141" spans="1:9" x14ac:dyDescent="0.35">
      <c r="A141" s="30" t="s">
        <v>193</v>
      </c>
      <c r="G141" s="94">
        <v>1</v>
      </c>
      <c r="H141" s="93">
        <f t="shared" si="6"/>
        <v>1</v>
      </c>
      <c r="I141" s="77">
        <f t="shared" si="5"/>
        <v>1</v>
      </c>
    </row>
  </sheetData>
  <mergeCells count="1">
    <mergeCell ref="B2:I2"/>
  </mergeCells>
  <pageMargins left="0.7" right="0.7" top="0.75" bottom="0.75" header="0.3" footer="0.3"/>
  <pageSetup paperSize="9" orientation="portrait" horizontalDpi="4294967293" verticalDpi="4294967293"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Ark42"/>
  <dimension ref="A1:AH30"/>
  <sheetViews>
    <sheetView topLeftCell="L1" zoomScale="130" zoomScaleNormal="130" workbookViewId="0">
      <selection activeCell="P15" sqref="P15"/>
    </sheetView>
  </sheetViews>
  <sheetFormatPr defaultRowHeight="14.5" x14ac:dyDescent="0.35"/>
  <cols>
    <col min="3" max="3" width="16.453125" customWidth="1"/>
    <col min="4" max="4" width="12.81640625" customWidth="1"/>
    <col min="5" max="5" width="12.54296875" customWidth="1"/>
    <col min="6" max="6" width="16.54296875" customWidth="1"/>
    <col min="10" max="10" width="12.54296875" customWidth="1"/>
    <col min="11" max="11" width="11.54296875" customWidth="1"/>
    <col min="14" max="14" width="10.81640625" customWidth="1"/>
    <col min="15" max="15" width="51.54296875" customWidth="1"/>
    <col min="16" max="18" width="15.81640625" customWidth="1"/>
    <col min="19" max="19" width="12.81640625" customWidth="1"/>
    <col min="24" max="24" width="14.1796875" bestFit="1" customWidth="1"/>
    <col min="33" max="34" width="11.26953125" customWidth="1"/>
  </cols>
  <sheetData>
    <row r="1" spans="1:34" ht="140" x14ac:dyDescent="0.35">
      <c r="B1" s="44" t="s">
        <v>0</v>
      </c>
      <c r="C1" s="3" t="s">
        <v>1</v>
      </c>
      <c r="D1" s="8" t="s">
        <v>2</v>
      </c>
      <c r="E1" s="2" t="s">
        <v>3</v>
      </c>
      <c r="F1" s="3" t="s">
        <v>4</v>
      </c>
      <c r="G1" s="1" t="s">
        <v>5</v>
      </c>
      <c r="H1" s="1" t="s">
        <v>6</v>
      </c>
      <c r="I1" s="1" t="s">
        <v>7</v>
      </c>
      <c r="J1" s="3" t="s">
        <v>8</v>
      </c>
      <c r="K1" s="2" t="s">
        <v>9</v>
      </c>
      <c r="L1" s="2" t="s">
        <v>10</v>
      </c>
      <c r="M1" s="17" t="s">
        <v>11</v>
      </c>
      <c r="N1" s="5" t="s">
        <v>12</v>
      </c>
      <c r="O1" s="4" t="s">
        <v>262</v>
      </c>
      <c r="P1" s="60"/>
      <c r="Q1" s="60"/>
      <c r="R1" s="12" t="s">
        <v>14</v>
      </c>
      <c r="S1" s="11" t="s">
        <v>15</v>
      </c>
      <c r="T1" s="12" t="s">
        <v>16</v>
      </c>
      <c r="U1" s="44" t="s">
        <v>17</v>
      </c>
      <c r="V1" s="3" t="s">
        <v>1</v>
      </c>
      <c r="W1" s="8" t="s">
        <v>2</v>
      </c>
      <c r="X1" s="9" t="s">
        <v>3</v>
      </c>
      <c r="Y1" s="3" t="s">
        <v>4</v>
      </c>
      <c r="Z1" s="1" t="s">
        <v>5</v>
      </c>
      <c r="AA1" s="1" t="s">
        <v>6</v>
      </c>
      <c r="AB1" s="1" t="s">
        <v>7</v>
      </c>
      <c r="AC1" s="3" t="s">
        <v>8</v>
      </c>
      <c r="AD1" s="2" t="s">
        <v>9</v>
      </c>
      <c r="AE1" s="2" t="s">
        <v>10</v>
      </c>
      <c r="AF1" s="17" t="s">
        <v>11</v>
      </c>
      <c r="AG1" s="13" t="s">
        <v>18</v>
      </c>
      <c r="AH1" s="13" t="s">
        <v>19</v>
      </c>
    </row>
    <row r="2" spans="1:34" ht="24.75" customHeight="1" x14ac:dyDescent="0.35">
      <c r="A2" s="45" t="s">
        <v>20</v>
      </c>
      <c r="B2" s="46" t="s">
        <v>21</v>
      </c>
      <c r="C2" s="46" t="s">
        <v>22</v>
      </c>
      <c r="D2" s="46" t="s">
        <v>23</v>
      </c>
      <c r="E2" s="47" t="s">
        <v>24</v>
      </c>
      <c r="F2" s="46" t="s">
        <v>25</v>
      </c>
      <c r="G2" s="46" t="s">
        <v>26</v>
      </c>
      <c r="H2" s="46" t="s">
        <v>27</v>
      </c>
      <c r="I2" s="46" t="s">
        <v>28</v>
      </c>
      <c r="J2" s="48" t="s">
        <v>29</v>
      </c>
      <c r="K2" s="47" t="s">
        <v>30</v>
      </c>
      <c r="L2" s="49" t="s">
        <v>31</v>
      </c>
      <c r="M2" s="49" t="s">
        <v>32</v>
      </c>
      <c r="N2" s="50" t="s">
        <v>33</v>
      </c>
      <c r="O2" s="51"/>
      <c r="P2" s="52" t="s">
        <v>20</v>
      </c>
      <c r="Q2" s="53" t="s">
        <v>34</v>
      </c>
      <c r="R2" s="50" t="s">
        <v>35</v>
      </c>
      <c r="S2" s="54" t="s">
        <v>36</v>
      </c>
      <c r="T2" s="50" t="s">
        <v>37</v>
      </c>
      <c r="U2" s="46" t="s">
        <v>38</v>
      </c>
      <c r="V2" s="46" t="s">
        <v>39</v>
      </c>
      <c r="W2" s="46" t="s">
        <v>40</v>
      </c>
      <c r="X2" s="47" t="s">
        <v>41</v>
      </c>
      <c r="Y2" s="46" t="s">
        <v>42</v>
      </c>
      <c r="Z2" s="46" t="s">
        <v>43</v>
      </c>
      <c r="AA2" s="46" t="s">
        <v>44</v>
      </c>
      <c r="AB2" s="46" t="s">
        <v>45</v>
      </c>
      <c r="AC2" s="46" t="s">
        <v>46</v>
      </c>
      <c r="AD2" s="47" t="s">
        <v>47</v>
      </c>
      <c r="AE2" s="47" t="s">
        <v>48</v>
      </c>
      <c r="AF2" s="49" t="s">
        <v>49</v>
      </c>
      <c r="AG2" s="46" t="s">
        <v>50</v>
      </c>
      <c r="AH2" s="46" t="s">
        <v>51</v>
      </c>
    </row>
    <row r="3" spans="1:34" ht="24.75" customHeight="1" x14ac:dyDescent="0.35">
      <c r="A3" s="45" t="s">
        <v>34</v>
      </c>
      <c r="B3" s="55"/>
      <c r="C3" s="56" t="s">
        <v>52</v>
      </c>
      <c r="D3" s="56" t="s">
        <v>52</v>
      </c>
      <c r="E3" s="56" t="s">
        <v>21</v>
      </c>
      <c r="F3" s="56" t="s">
        <v>21</v>
      </c>
      <c r="G3" s="56" t="s">
        <v>21</v>
      </c>
      <c r="H3" s="56" t="s">
        <v>52</v>
      </c>
      <c r="I3" s="56" t="s">
        <v>52</v>
      </c>
      <c r="J3" s="56" t="s">
        <v>21</v>
      </c>
      <c r="K3" s="56" t="s">
        <v>21</v>
      </c>
      <c r="L3" s="57" t="s">
        <v>21</v>
      </c>
      <c r="M3" s="57" t="s">
        <v>21</v>
      </c>
      <c r="N3" s="50"/>
      <c r="O3" s="51" t="s">
        <v>53</v>
      </c>
      <c r="P3" s="52"/>
      <c r="Q3" s="53"/>
      <c r="R3" s="74"/>
      <c r="S3" s="58"/>
      <c r="T3" s="59"/>
      <c r="U3" s="55"/>
      <c r="V3" s="56" t="s">
        <v>38</v>
      </c>
      <c r="W3" s="56" t="s">
        <v>38</v>
      </c>
      <c r="X3" s="56" t="s">
        <v>38</v>
      </c>
      <c r="Y3" s="56" t="s">
        <v>38</v>
      </c>
      <c r="Z3" s="56" t="s">
        <v>38</v>
      </c>
      <c r="AA3" s="56" t="s">
        <v>38</v>
      </c>
      <c r="AB3" s="56" t="s">
        <v>54</v>
      </c>
      <c r="AC3" s="56" t="s">
        <v>38</v>
      </c>
      <c r="AD3" s="56" t="s">
        <v>38</v>
      </c>
      <c r="AE3" s="56" t="s">
        <v>38</v>
      </c>
      <c r="AF3" s="57" t="s">
        <v>38</v>
      </c>
      <c r="AG3" s="56"/>
      <c r="AH3" s="56"/>
    </row>
    <row r="4" spans="1:34" ht="24.75" customHeight="1" x14ac:dyDescent="0.35">
      <c r="A4" s="72" t="s">
        <v>55</v>
      </c>
      <c r="B4" s="72"/>
      <c r="C4" s="56"/>
      <c r="D4" s="56"/>
      <c r="E4" s="56"/>
      <c r="F4" s="56"/>
      <c r="G4" s="56"/>
      <c r="H4" s="56"/>
      <c r="I4" s="56"/>
      <c r="J4" s="56"/>
      <c r="K4" s="56"/>
      <c r="L4" s="57"/>
      <c r="M4" s="57"/>
      <c r="N4" s="50"/>
      <c r="O4" s="51"/>
      <c r="P4" s="73"/>
      <c r="Q4" s="53"/>
      <c r="R4" s="74"/>
      <c r="S4" s="58"/>
      <c r="T4" s="59"/>
      <c r="U4" s="55">
        <f>B4</f>
        <v>0</v>
      </c>
      <c r="V4" s="56"/>
      <c r="W4" s="56"/>
      <c r="X4" s="56"/>
      <c r="Y4" s="56"/>
      <c r="Z4" s="56"/>
      <c r="AA4" s="56"/>
      <c r="AB4" s="56"/>
      <c r="AC4" s="56"/>
      <c r="AD4" s="56"/>
      <c r="AE4" s="56"/>
      <c r="AF4" s="57"/>
      <c r="AG4" s="56">
        <f>U4</f>
        <v>0</v>
      </c>
      <c r="AH4" s="56">
        <f>U4</f>
        <v>0</v>
      </c>
    </row>
    <row r="5" spans="1:34" x14ac:dyDescent="0.35">
      <c r="C5" s="14"/>
      <c r="D5" s="14"/>
      <c r="E5" s="14"/>
      <c r="F5" s="14"/>
      <c r="G5" s="14"/>
      <c r="H5" s="14"/>
      <c r="I5" s="14"/>
      <c r="J5" s="14"/>
      <c r="K5" s="14"/>
      <c r="L5" s="14"/>
      <c r="M5" s="14"/>
      <c r="N5" s="23">
        <f>SUM(C5:M5)</f>
        <v>0</v>
      </c>
      <c r="O5" s="10" t="s">
        <v>56</v>
      </c>
      <c r="P5" s="62" t="s">
        <v>57</v>
      </c>
      <c r="Q5" s="63"/>
      <c r="R5" s="63"/>
      <c r="S5" s="24">
        <f>SUM(V5:AF5)</f>
        <v>40288.579743169561</v>
      </c>
      <c r="T5" s="37"/>
      <c r="U5" s="61"/>
      <c r="V5" s="14">
        <f>-(C6+C5)</f>
        <v>7464.3026292544782</v>
      </c>
      <c r="W5" s="14">
        <f>-(D6+D5)</f>
        <v>7585.4364381889482</v>
      </c>
      <c r="X5" s="14"/>
      <c r="Y5" s="14">
        <f>-(F6+F5)</f>
        <v>20886.778199348235</v>
      </c>
      <c r="Z5" s="14">
        <f>-(G6+G5)</f>
        <v>3315.511310123446</v>
      </c>
      <c r="AA5" s="14"/>
      <c r="AB5" s="14"/>
      <c r="AC5" s="14">
        <f>-(J6+J5)</f>
        <v>1036.5511662544491</v>
      </c>
      <c r="AD5" s="14"/>
      <c r="AE5" s="14"/>
      <c r="AF5" s="14"/>
      <c r="AG5" s="14"/>
      <c r="AH5" s="14"/>
    </row>
    <row r="6" spans="1:34" x14ac:dyDescent="0.35">
      <c r="C6" s="14">
        <f>-V6</f>
        <v>-7464.3026292544782</v>
      </c>
      <c r="D6" s="14">
        <f>-W6</f>
        <v>-7585.4364381889482</v>
      </c>
      <c r="E6" s="14"/>
      <c r="F6" s="14">
        <f>-Y6</f>
        <v>-20886.778199348235</v>
      </c>
      <c r="G6" s="14">
        <f>-Z6</f>
        <v>-3315.511310123446</v>
      </c>
      <c r="H6" s="14"/>
      <c r="I6" s="14"/>
      <c r="J6" s="14">
        <f>-AC6</f>
        <v>-1036.5511662544491</v>
      </c>
      <c r="K6" s="14"/>
      <c r="L6" s="18"/>
      <c r="M6" s="18"/>
      <c r="N6" s="23">
        <f t="shared" ref="N6:N15" si="0">SUM(C6:M6)</f>
        <v>-40288.579743169561</v>
      </c>
      <c r="O6" s="22" t="s">
        <v>58</v>
      </c>
      <c r="P6" s="65" t="s">
        <v>59</v>
      </c>
      <c r="Q6" s="66"/>
      <c r="R6" s="66"/>
      <c r="S6" s="24">
        <f t="shared" ref="S6:S25" si="1">SUM(V6:AF6)</f>
        <v>40288.579743169561</v>
      </c>
      <c r="T6" s="37"/>
      <c r="U6" s="61"/>
      <c r="V6" s="14">
        <f>-(C16+C8)</f>
        <v>7464.3026292544782</v>
      </c>
      <c r="W6" s="14">
        <f>-(D16+D8)</f>
        <v>7585.4364381889482</v>
      </c>
      <c r="X6" s="14"/>
      <c r="Y6" s="14">
        <f>-(F16+F8)</f>
        <v>20886.778199348235</v>
      </c>
      <c r="Z6" s="14">
        <f>-(G16+G8)</f>
        <v>3315.511310123446</v>
      </c>
      <c r="AA6" s="14"/>
      <c r="AB6" s="14"/>
      <c r="AC6" s="14">
        <f>-(J16+J8)</f>
        <v>1036.5511662544491</v>
      </c>
      <c r="AD6" s="14"/>
      <c r="AE6" s="14"/>
      <c r="AF6" s="14"/>
      <c r="AG6" s="21">
        <f>-(N6+S6)</f>
        <v>0</v>
      </c>
      <c r="AH6" s="21"/>
    </row>
    <row r="7" spans="1:34" x14ac:dyDescent="0.35"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23">
        <f t="shared" si="0"/>
        <v>0</v>
      </c>
      <c r="O7" s="22" t="s">
        <v>60</v>
      </c>
      <c r="P7" s="67" t="s">
        <v>61</v>
      </c>
      <c r="Q7" s="66"/>
      <c r="R7" s="66"/>
      <c r="S7" s="24">
        <f t="shared" si="1"/>
        <v>1178.6306724222081</v>
      </c>
      <c r="T7" s="37"/>
      <c r="U7" s="61"/>
      <c r="V7" s="14"/>
      <c r="W7" s="14"/>
      <c r="X7" s="14"/>
      <c r="Y7" s="14"/>
      <c r="Z7" s="16"/>
      <c r="AA7" s="19">
        <f>-H8</f>
        <v>1112.4232913285769</v>
      </c>
      <c r="AB7" s="19">
        <f>-I8</f>
        <v>66.207381093631213</v>
      </c>
      <c r="AC7" s="14"/>
      <c r="AD7" s="14"/>
      <c r="AE7" s="14"/>
      <c r="AF7" s="14"/>
      <c r="AG7" s="14"/>
      <c r="AH7" s="14"/>
    </row>
    <row r="8" spans="1:34" x14ac:dyDescent="0.35">
      <c r="C8" s="14">
        <f>SUM(C9:C13)</f>
        <v>-5423.3757923882986</v>
      </c>
      <c r="D8" s="14">
        <f t="shared" ref="D8:M8" si="2">SUM(D9:D13)</f>
        <v>-7584.1802714809173</v>
      </c>
      <c r="E8" s="14">
        <f t="shared" si="2"/>
        <v>-758.58914043431355</v>
      </c>
      <c r="F8" s="14">
        <f t="shared" si="2"/>
        <v>-12140.96836287768</v>
      </c>
      <c r="G8" s="14">
        <f t="shared" si="2"/>
        <v>-3315.511310123446</v>
      </c>
      <c r="H8" s="14">
        <f t="shared" si="2"/>
        <v>-1112.4232913285769</v>
      </c>
      <c r="I8" s="14">
        <f t="shared" si="2"/>
        <v>-66.207381093631213</v>
      </c>
      <c r="J8" s="14">
        <f t="shared" si="2"/>
        <v>-308.10532706560048</v>
      </c>
      <c r="K8" s="14">
        <f t="shared" si="2"/>
        <v>-1118.787681752257</v>
      </c>
      <c r="L8" s="14">
        <f t="shared" si="2"/>
        <v>-711.02843199999995</v>
      </c>
      <c r="M8" s="14">
        <f t="shared" si="2"/>
        <v>0</v>
      </c>
      <c r="N8" s="23">
        <f t="shared" si="0"/>
        <v>-32539.176990544718</v>
      </c>
      <c r="O8" s="22" t="s">
        <v>62</v>
      </c>
      <c r="P8" s="67" t="s">
        <v>63</v>
      </c>
      <c r="Q8" s="66"/>
      <c r="R8" s="66">
        <f>'Størrelse på strømme'!E18</f>
        <v>0</v>
      </c>
      <c r="S8" s="24">
        <f t="shared" si="1"/>
        <v>20466.392249970497</v>
      </c>
      <c r="T8" s="37"/>
      <c r="U8" s="61"/>
      <c r="V8" s="14">
        <f>SUM(V9:V13)</f>
        <v>0</v>
      </c>
      <c r="W8" s="14"/>
      <c r="X8" s="14">
        <f>(E14+E8)*-1</f>
        <v>7253.4545518220457</v>
      </c>
      <c r="Y8" s="14"/>
      <c r="Z8" s="14"/>
      <c r="AA8" s="14"/>
      <c r="AB8" s="14"/>
      <c r="AC8" s="14"/>
      <c r="AD8" s="14">
        <f>(K14+K8)*-1</f>
        <v>6334.5773371673367</v>
      </c>
      <c r="AE8" s="14">
        <f>(L14+L8)*-1</f>
        <v>6878.3603609811144</v>
      </c>
      <c r="AF8" s="14"/>
      <c r="AG8" s="21">
        <f>-(N8+S8)</f>
        <v>12072.784740574221</v>
      </c>
      <c r="AH8" s="21">
        <f>SUM(AH9:AH13)</f>
        <v>1264.9086716339239</v>
      </c>
    </row>
    <row r="9" spans="1:34" x14ac:dyDescent="0.35">
      <c r="C9" s="26">
        <f>-($AD$9+$H$9+$I$9)/$T$9*' KF Non-OECD Europe Eurasia '!$I109</f>
        <v>-1211.0978062907027</v>
      </c>
      <c r="D9" s="26">
        <f>-($AD$9+$H$9+$I$9)/$T$9*' KF Non-OECD Europe Eurasia '!$I110</f>
        <v>0</v>
      </c>
      <c r="E9" s="26">
        <f>-($AD$9+$H$9+$I$9)/$T$9*' KF Non-OECD Europe Eurasia '!$I111</f>
        <v>-96.047655675601945</v>
      </c>
      <c r="F9" s="26">
        <f>-($AD$9+$H$9+$I$9)/$T$9*' KF Non-OECD Europe Eurasia '!$I112</f>
        <v>-858.39366186475343</v>
      </c>
      <c r="G9" s="26">
        <f>-($AD$9+$H$9+$I$9)/$T$9*' KF Non-OECD Europe Eurasia '!$I113</f>
        <v>-3294.2479737237145</v>
      </c>
      <c r="H9" s="26">
        <f>AD9*' KF Non-OECD Europe Eurasia '!I94*-1</f>
        <v>-1112.4232913285769</v>
      </c>
      <c r="I9" s="26">
        <f>AD9*' KF Non-OECD Europe Eurasia '!I95*-1</f>
        <v>-65.619023687287168</v>
      </c>
      <c r="J9" s="26">
        <f>-($AD$9+$H$9+$I$9)/$T$9*' KF Non-OECD Europe Eurasia '!$I114</f>
        <v>-14.13516553142385</v>
      </c>
      <c r="K9" s="25"/>
      <c r="L9" s="25"/>
      <c r="M9" s="25"/>
      <c r="N9" s="23">
        <f t="shared" si="0"/>
        <v>-6651.9645781020599</v>
      </c>
      <c r="O9" s="6" t="s">
        <v>64</v>
      </c>
      <c r="P9" s="68" t="s">
        <v>65</v>
      </c>
      <c r="Q9" s="69" t="s">
        <v>63</v>
      </c>
      <c r="R9" s="69"/>
      <c r="S9" s="24">
        <f t="shared" si="1"/>
        <v>3005.3989788986028</v>
      </c>
      <c r="T9" s="37">
        <f>' KF Non-OECD Europe Eurasia '!I104</f>
        <v>0.33382948753321812</v>
      </c>
      <c r="U9" s="61"/>
      <c r="V9" s="28"/>
      <c r="W9" s="28"/>
      <c r="X9" s="28"/>
      <c r="Y9" s="28"/>
      <c r="Z9" s="28"/>
      <c r="AA9" s="28"/>
      <c r="AB9" s="28"/>
      <c r="AC9" s="28"/>
      <c r="AD9" s="28">
        <f>AD8-AD10</f>
        <v>3005.3989788986028</v>
      </c>
      <c r="AE9" s="28"/>
      <c r="AF9" s="28"/>
      <c r="AG9" s="29">
        <f>-(S9+N9)</f>
        <v>3646.5655992034572</v>
      </c>
      <c r="AH9" s="29">
        <f>-(C9*Emissionsfaktorer!$B$2*(1-' KF Non-OECD Europe Eurasia '!I134)+D9*Emissionsfaktorer!$B$3+E9*Emissionsfaktorer!$B$4*(1-' KF Non-OECD Europe Eurasia '!I135)+F9*Emissionsfaktorer!$B$5*(1-' KF Non-OECD Europe Eurasia '!I136)+G9*Emissionsfaktorer!$B$6+H9*Emissionsfaktorer!$B$7+I9*Emissionsfaktorer!$B$8-J9*Emissionsfaktorer!B13*' KF Non-OECD Europe Eurasia '!I137+K9*Emissionsfaktorer!$B$10+L9*Emissionsfaktorer!$B$11+M9*Emissionsfaktorer!$B$12)</f>
        <v>171.28235215525345</v>
      </c>
    </row>
    <row r="10" spans="1:34" x14ac:dyDescent="0.35">
      <c r="C10" s="26">
        <f>-($AD$10+$AE$10+$H$10+$I$10)/$T$10*' KF Non-OECD Europe Eurasia '!$I116</f>
        <v>-3559.3816595455592</v>
      </c>
      <c r="D10" s="26">
        <f>-($AD$10+$AE$10+$H$10+$I$10)/$T$10*' KF Non-OECD Europe Eurasia '!$I117</f>
        <v>-0.88247048299280706</v>
      </c>
      <c r="E10" s="26">
        <f>-($AD$10+$AE$10+$H$10+$I$10)/$T$10*' KF Non-OECD Europe Eurasia '!$I118</f>
        <v>-132.37057244892105</v>
      </c>
      <c r="F10" s="26">
        <f>-($AD$10+$AE$10+$H$10+$I$10)/$T$10*' KF Non-OECD Europe Eurasia '!$I119</f>
        <v>-8014.0086128853454</v>
      </c>
      <c r="G10" s="26">
        <f>-($AD$10+$AE$10+$H$10+$I$10)/$T$10*' KF Non-OECD Europe Eurasia '!$I120</f>
        <v>-21.263336399731443</v>
      </c>
      <c r="H10" s="26"/>
      <c r="I10" s="26">
        <f>(AD10+AE10)*' KF Non-OECD Europe Eurasia '!I98*-1</f>
        <v>0</v>
      </c>
      <c r="J10" s="26">
        <f>-($AD$10+$AE$10+$H$10+$I$10)/$T$10*' KF Non-OECD Europe Eurasia '!$I121</f>
        <v>-139.43033631286352</v>
      </c>
      <c r="K10" s="25"/>
      <c r="L10" s="25"/>
      <c r="M10" s="25"/>
      <c r="N10" s="23">
        <f t="shared" si="0"/>
        <v>-11867.336988075414</v>
      </c>
      <c r="O10" s="6" t="s">
        <v>66</v>
      </c>
      <c r="P10" s="68" t="s">
        <v>67</v>
      </c>
      <c r="Q10" s="69" t="s">
        <v>63</v>
      </c>
      <c r="R10" s="69"/>
      <c r="S10" s="24">
        <f t="shared" si="1"/>
        <v>7256.2959434991117</v>
      </c>
      <c r="T10" s="37">
        <f>' KF Non-OECD Europe Eurasia '!I105</f>
        <v>0.61145107371522467</v>
      </c>
      <c r="U10" s="61"/>
      <c r="V10" s="28"/>
      <c r="W10" s="28"/>
      <c r="X10" s="28"/>
      <c r="Y10" s="28"/>
      <c r="Z10" s="28"/>
      <c r="AA10" s="28"/>
      <c r="AB10" s="28"/>
      <c r="AC10" s="28"/>
      <c r="AD10" s="28">
        <f>AE10*' KF Non-OECD Europe Eurasia '!I90</f>
        <v>3329.178358268734</v>
      </c>
      <c r="AE10" s="28">
        <f>AE8*' KF Non-OECD Europe Eurasia '!I85</f>
        <v>3927.1175852303782</v>
      </c>
      <c r="AF10" s="28"/>
      <c r="AG10" s="29">
        <f t="shared" ref="AG10:AG11" si="3">-(S10+N10)</f>
        <v>4611.0410445763027</v>
      </c>
      <c r="AH10" s="29">
        <f>-(C10*Emissionsfaktorer!$B$2*(1-' KF Non-OECD Europe Eurasia '!I135)+D10*Emissionsfaktorer!$B$3+E10*Emissionsfaktorer!$B$4*(1-' KF Non-OECD Europe Eurasia '!I136)+F10*Emissionsfaktorer!$B$5*(1-' KF Non-OECD Europe Eurasia '!I137)+G10*Emissionsfaktorer!$B$6+H10*Emissionsfaktorer!$B$7+I10*Emissionsfaktorer!$B$8-J10*Emissionsfaktorer!B14*' KF Non-OECD Europe Eurasia '!I142+K10*Emissionsfaktorer!$B$10+L10*Emissionsfaktorer!$B$11+M10*Emissionsfaktorer!$B$12)</f>
        <v>804.99991209741086</v>
      </c>
    </row>
    <row r="11" spans="1:34" x14ac:dyDescent="0.35">
      <c r="C11" s="26">
        <f>-($AE$11+$H$11+$I$11)/$T$11*' KF Non-OECD Europe Eurasia '!$I123</f>
        <v>-505.67437455203668</v>
      </c>
      <c r="D11" s="26">
        <f>-($AE$11+$H$11+$I$11)/$T$11*' KF Non-OECD Europe Eurasia '!$I124</f>
        <v>-19.747686522714115</v>
      </c>
      <c r="E11" s="26">
        <f>-($AE$11+$H$11+$I$11)/$T$11*' KF Non-OECD Europe Eurasia '!$I125</f>
        <v>-190.29588830979057</v>
      </c>
      <c r="F11" s="26">
        <f>-($AE$11+$H$11+$I$11)/$T$11*' KF Non-OECD Europe Eurasia '!$I126</f>
        <v>-2148.4063441275807</v>
      </c>
      <c r="G11" s="26">
        <f>-($AE$11+$H$11+$I$11)/$T$11*' KF Non-OECD Europe Eurasia '!$I127</f>
        <v>0</v>
      </c>
      <c r="H11" s="26"/>
      <c r="I11" s="26">
        <f>AE11*' KF Non-OECD Europe Eurasia '!I101*-1</f>
        <v>-0.58835740634404143</v>
      </c>
      <c r="J11" s="26">
        <f>-($AE$11+$H$11+$I$11)/$T$11*' KF Non-OECD Europe Eurasia '!$I128</f>
        <v>-146.45852922131311</v>
      </c>
      <c r="K11" s="28">
        <f>AE11*' KF Non-OECD Europe Eurasia '!I88*-1</f>
        <v>-14.120577752256994</v>
      </c>
      <c r="L11" s="25"/>
      <c r="M11" s="25"/>
      <c r="N11" s="23">
        <f t="shared" si="0"/>
        <v>-3025.2917578920365</v>
      </c>
      <c r="O11" s="6" t="s">
        <v>68</v>
      </c>
      <c r="P11" s="64" t="s">
        <v>69</v>
      </c>
      <c r="Q11" s="69" t="s">
        <v>63</v>
      </c>
      <c r="R11" s="69"/>
      <c r="S11" s="24">
        <f t="shared" si="1"/>
        <v>2951.2427757507362</v>
      </c>
      <c r="T11" s="37">
        <f>' KF Non-OECD Europe Eurasia '!I106</f>
        <v>0.98009408545863175</v>
      </c>
      <c r="U11" s="61"/>
      <c r="V11" s="28"/>
      <c r="W11" s="28"/>
      <c r="X11" s="28"/>
      <c r="Y11" s="28"/>
      <c r="Z11" s="28"/>
      <c r="AA11" s="28"/>
      <c r="AB11" s="28"/>
      <c r="AC11" s="28"/>
      <c r="AD11" s="28"/>
      <c r="AE11" s="28">
        <f>AE8*' KF Non-OECD Europe Eurasia '!I86</f>
        <v>2951.2427757507362</v>
      </c>
      <c r="AF11" s="28"/>
      <c r="AG11" s="29">
        <f t="shared" si="3"/>
        <v>74.048982141300257</v>
      </c>
      <c r="AH11" s="29">
        <f>-(C11*Emissionsfaktorer!$B$2+D11*Emissionsfaktorer!$B$3+E11*Emissionsfaktorer!$B$4+F11*Emissionsfaktorer!$B$5+G11*Emissionsfaktorer!$B$6+H11*Emissionsfaktorer!$B$7+I11*Emissionsfaktorer!$B$8+J11*Emissionsfaktorer!$B$9+K11*Emissionsfaktorer!$B$10+L11*Emissionsfaktorer!$B$11+M11*Emissionsfaktorer!$B$12)</f>
        <v>184.96071470925966</v>
      </c>
    </row>
    <row r="12" spans="1:34" x14ac:dyDescent="0.35">
      <c r="C12" s="26"/>
      <c r="D12" s="26">
        <f>-X12/T12*' KF Non-OECD Europe Eurasia '!I130</f>
        <v>-7475.9538904752108</v>
      </c>
      <c r="E12" s="25"/>
      <c r="F12" s="26"/>
      <c r="G12" s="26"/>
      <c r="H12" s="26"/>
      <c r="I12" s="26"/>
      <c r="J12" s="27">
        <f>-X12/T12*' KF Non-OECD Europe Eurasia '!I131</f>
        <v>0</v>
      </c>
      <c r="K12" s="25"/>
      <c r="L12" s="25"/>
      <c r="M12" s="25"/>
      <c r="N12" s="23">
        <f t="shared" si="0"/>
        <v>-7475.9538904752108</v>
      </c>
      <c r="O12" s="6" t="s">
        <v>70</v>
      </c>
      <c r="P12" s="64" t="s">
        <v>71</v>
      </c>
      <c r="Q12" s="69" t="s">
        <v>63</v>
      </c>
      <c r="R12" s="69"/>
      <c r="S12" s="24">
        <f t="shared" si="1"/>
        <v>7253.4545518220457</v>
      </c>
      <c r="T12" s="37">
        <f>' KF Non-OECD Europe Eurasia '!I107</f>
        <v>0.97023800013846506</v>
      </c>
      <c r="U12" s="61"/>
      <c r="V12" s="28"/>
      <c r="W12" s="28"/>
      <c r="X12" s="28">
        <f>-(E9+E10+E11+E13+E14)</f>
        <v>7253.4545518220457</v>
      </c>
      <c r="Y12" s="28"/>
      <c r="Z12" s="28"/>
      <c r="AA12" s="28"/>
      <c r="AB12" s="28"/>
      <c r="AC12" s="28"/>
      <c r="AD12" s="28"/>
      <c r="AE12" s="28"/>
      <c r="AF12" s="28"/>
      <c r="AG12" s="29">
        <f>-(S12+N12)</f>
        <v>222.49933865316507</v>
      </c>
      <c r="AH12" s="29">
        <f>J12*Emissionsfaktorer!B4</f>
        <v>0</v>
      </c>
    </row>
    <row r="13" spans="1:34" x14ac:dyDescent="0.35">
      <c r="C13" s="28">
        <f>N13*' KF Non-OECD Europe Eurasia '!I79</f>
        <v>-147.22195199999999</v>
      </c>
      <c r="D13" s="28">
        <f>N13*' KF Non-OECD Europe Eurasia '!I81</f>
        <v>-87.596223999999992</v>
      </c>
      <c r="E13" s="28">
        <f>N13*' KF Non-OECD Europe Eurasia '!I82</f>
        <v>-339.875024</v>
      </c>
      <c r="F13" s="28">
        <f>N13*' KF Non-OECD Europe Eurasia '!I80</f>
        <v>-1120.1597439999998</v>
      </c>
      <c r="G13" s="28"/>
      <c r="H13" s="28"/>
      <c r="I13" s="28"/>
      <c r="J13" s="36">
        <f>N13*' KF Non-OECD Europe Eurasia '!I83</f>
        <v>-8.0812959999999983</v>
      </c>
      <c r="K13" s="28">
        <f>N13*' KF Non-OECD Europe Eurasia '!I77</f>
        <v>-1104.6671039999999</v>
      </c>
      <c r="L13" s="28">
        <f>N13*' KF Non-OECD Europe Eurasia '!I78</f>
        <v>-711.02843199999995</v>
      </c>
      <c r="M13" s="25"/>
      <c r="N13" s="23">
        <f>N16*' KF Non-OECD Europe Eurasia '!I75</f>
        <v>-3518.6297759999998</v>
      </c>
      <c r="O13" s="6" t="s">
        <v>72</v>
      </c>
      <c r="P13" s="64" t="s">
        <v>73</v>
      </c>
      <c r="Q13" s="69" t="s">
        <v>63</v>
      </c>
      <c r="R13" s="69"/>
      <c r="S13" s="24">
        <f t="shared" si="1"/>
        <v>0</v>
      </c>
      <c r="T13" s="37">
        <v>0</v>
      </c>
      <c r="U13" s="61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9">
        <f>-(S13+N13)</f>
        <v>3518.6297759999998</v>
      </c>
      <c r="AH13" s="29">
        <f>-(C13*Emissionsfaktorer!$B$2+D13*Emissionsfaktorer!$B$3+E13*Emissionsfaktorer!$B$4+F13*Emissionsfaktorer!$B$5+G13*Emissionsfaktorer!$B$6+H13*Emissionsfaktorer!$B$7+I13*Emissionsfaktorer!$B$8+J13*Emissionsfaktorer!$B$9+K13*Emissionsfaktorer!$B$10+L13*Emissionsfaktorer!$B$11+M13*Emissionsfaktorer!$B$12)</f>
        <v>103.66569267199999</v>
      </c>
    </row>
    <row r="14" spans="1:34" x14ac:dyDescent="0.35">
      <c r="C14" s="15"/>
      <c r="D14" s="15"/>
      <c r="E14" s="16">
        <f>-X14*1</f>
        <v>-6494.8654113877319</v>
      </c>
      <c r="F14" s="15"/>
      <c r="G14" s="15"/>
      <c r="H14" s="15"/>
      <c r="I14" s="15"/>
      <c r="J14" s="20"/>
      <c r="K14" s="16">
        <f>-AD14*(1+' KF Non-OECD Europe Eurasia '!I72)</f>
        <v>-5215.7896554150802</v>
      </c>
      <c r="L14" s="16">
        <f>-AE14*(1+' KF Non-OECD Europe Eurasia '!I73)</f>
        <v>-6167.3319289811143</v>
      </c>
      <c r="M14" s="16"/>
      <c r="N14" s="23">
        <f t="shared" si="0"/>
        <v>-17877.986995783926</v>
      </c>
      <c r="O14" s="22" t="s">
        <v>74</v>
      </c>
      <c r="P14" s="66" t="s">
        <v>75</v>
      </c>
      <c r="Q14" s="70"/>
      <c r="R14" s="70"/>
      <c r="S14" s="24">
        <f t="shared" si="1"/>
        <v>16707.819223767761</v>
      </c>
      <c r="T14" s="37"/>
      <c r="U14" s="61"/>
      <c r="V14" s="16"/>
      <c r="W14" s="16"/>
      <c r="X14" s="16">
        <f>-E16</f>
        <v>6494.8654113877319</v>
      </c>
      <c r="Y14" s="16"/>
      <c r="Z14" s="16"/>
      <c r="AA14" s="16"/>
      <c r="AB14" s="16"/>
      <c r="AC14" s="16"/>
      <c r="AD14" s="16">
        <f>-K16</f>
        <v>4606.7832669920836</v>
      </c>
      <c r="AE14" s="16">
        <f>-L16</f>
        <v>5606.1705453879467</v>
      </c>
      <c r="AF14" s="16"/>
      <c r="AG14" s="21">
        <f>-(N14+S14)</f>
        <v>1170.1677720161642</v>
      </c>
      <c r="AH14" s="21"/>
    </row>
    <row r="15" spans="1:34" x14ac:dyDescent="0.35"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23">
        <f t="shared" si="0"/>
        <v>0</v>
      </c>
      <c r="O15" s="22" t="s">
        <v>76</v>
      </c>
      <c r="P15" s="67" t="s">
        <v>77</v>
      </c>
      <c r="Q15" s="66"/>
      <c r="R15" s="66"/>
      <c r="S15" s="24">
        <f t="shared" si="1"/>
        <v>9.7560081646144408</v>
      </c>
      <c r="T15" s="37"/>
      <c r="U15" s="61"/>
      <c r="V15" s="14"/>
      <c r="W15" s="14"/>
      <c r="X15" s="14"/>
      <c r="Y15" s="14"/>
      <c r="Z15" s="14"/>
      <c r="AA15" s="14"/>
      <c r="AB15" s="14">
        <f>I16*-1</f>
        <v>9.7560081646144408</v>
      </c>
      <c r="AC15" s="14"/>
      <c r="AD15" s="14"/>
      <c r="AE15" s="14"/>
      <c r="AF15" s="14"/>
      <c r="AG15" s="14"/>
      <c r="AH15" s="14"/>
    </row>
    <row r="16" spans="1:34" x14ac:dyDescent="0.35">
      <c r="C16" s="14">
        <f t="shared" ref="C16:M16" si="4">SUM(C17:C19)</f>
        <v>-2040.9268368661799</v>
      </c>
      <c r="D16" s="14">
        <f t="shared" si="4"/>
        <v>-1.2561667080309615</v>
      </c>
      <c r="E16" s="14">
        <f t="shared" si="4"/>
        <v>-6494.8654113877319</v>
      </c>
      <c r="F16" s="14">
        <f t="shared" si="4"/>
        <v>-8745.8098364705547</v>
      </c>
      <c r="G16" s="14">
        <f t="shared" si="4"/>
        <v>0</v>
      </c>
      <c r="H16" s="14">
        <f t="shared" si="4"/>
        <v>0</v>
      </c>
      <c r="I16" s="14">
        <f t="shared" si="4"/>
        <v>-9.7560081646144408</v>
      </c>
      <c r="J16" s="14">
        <f t="shared" si="4"/>
        <v>-728.44583918884859</v>
      </c>
      <c r="K16" s="14">
        <f t="shared" si="4"/>
        <v>-4606.7832669920836</v>
      </c>
      <c r="L16" s="14">
        <f t="shared" si="4"/>
        <v>-5606.1705453879467</v>
      </c>
      <c r="M16" s="14">
        <f t="shared" si="4"/>
        <v>0</v>
      </c>
      <c r="N16" s="23">
        <f>' KF Non-OECD Europe Eurasia '!I5</f>
        <v>-28234.415216000001</v>
      </c>
      <c r="O16" s="10" t="s">
        <v>78</v>
      </c>
      <c r="P16" s="71" t="s">
        <v>79</v>
      </c>
      <c r="Q16" s="71"/>
      <c r="R16" s="71">
        <f>'Størrelse på strømme'!E20</f>
        <v>0</v>
      </c>
      <c r="S16" s="24">
        <f t="shared" si="1"/>
        <v>21109.771815347143</v>
      </c>
      <c r="T16" s="37"/>
      <c r="U16" s="61"/>
      <c r="V16" s="14"/>
      <c r="W16" s="14"/>
      <c r="X16" s="14"/>
      <c r="Y16" s="14"/>
      <c r="Z16" s="14"/>
      <c r="AA16" s="14"/>
      <c r="AB16" s="14"/>
      <c r="AC16" s="14"/>
      <c r="AD16" s="14"/>
      <c r="AE16" s="14"/>
      <c r="AF16" s="14">
        <f>SUM(AF17:AF19)</f>
        <v>21109.771815347143</v>
      </c>
      <c r="AG16" s="14">
        <f t="shared" ref="AG16:AH16" si="5">SUM(AG17:AG19)</f>
        <v>7124.2420958188477</v>
      </c>
      <c r="AH16" s="14">
        <f t="shared" si="5"/>
        <v>1186.0089814465764</v>
      </c>
    </row>
    <row r="17" spans="3:34" x14ac:dyDescent="0.35">
      <c r="C17" s="25">
        <f>AF17*' KF Non-OECD Europe Eurasia '!I15/T17*' KF Non-OECD Europe Eurasia '!I139/' KF Non-OECD Europe Eurasia '!I$139*-1</f>
        <v>-1606.3441140063926</v>
      </c>
      <c r="D17" s="25">
        <f>AF17*' KF Non-OECD Europe Eurasia '!I16/T17*' KF Non-OECD Europe Eurasia '!I139/' KF Non-OECD Europe Eurasia '!I$139*-1</f>
        <v>-1.2561667080309615</v>
      </c>
      <c r="E17" s="25">
        <f>AF17*' KF Non-OECD Europe Eurasia '!I17/T17*' KF Non-OECD Europe Eurasia '!I139/' KF Non-OECD Europe Eurasia '!I$139*-1</f>
        <v>-607.52409222737413</v>
      </c>
      <c r="F17" s="25">
        <f>AF17*' KF Non-OECD Europe Eurasia '!I18/T17*' KF Non-OECD Europe Eurasia '!I139/' KF Non-OECD Europe Eurasia '!I$139*-1</f>
        <v>-2285.6790697095366</v>
      </c>
      <c r="G17" s="25"/>
      <c r="H17" s="25"/>
      <c r="I17" s="25">
        <f>AF17*' KF Non-OECD Europe Eurasia '!I19/T17*' KF Non-OECD Europe Eurasia '!I142/' KF Non-OECD Europe Eurasia '!I$142*-1</f>
        <v>-8.3744447202064115E-2</v>
      </c>
      <c r="J17" s="25">
        <f>AF17*' KF Non-OECD Europe Eurasia '!I20*' KF Non-OECD Europe Eurasia '!I139/T17/' KF Non-OECD Europe Eurasia '!I$139*-1</f>
        <v>-118.54026501452176</v>
      </c>
      <c r="K17" s="25">
        <f>AF17*' KF Non-OECD Europe Eurasia '!I21*' KF Non-OECD Europe Eurasia '!I141/T17/' KF Non-OECD Europe Eurasia '!I$141*-1</f>
        <v>-1966.3196203044647</v>
      </c>
      <c r="L17" s="25">
        <f>AF17*' KF Non-OECD Europe Eurasia '!I22*' KF Non-OECD Europe Eurasia '!I142/T17/' KF Non-OECD Europe Eurasia '!I$142*-1</f>
        <v>-1885.4643565308722</v>
      </c>
      <c r="M17" s="25"/>
      <c r="N17" s="23">
        <f>SUM(C17:L17)</f>
        <v>-8471.2114289483943</v>
      </c>
      <c r="O17" s="6" t="s">
        <v>80</v>
      </c>
      <c r="P17" s="64" t="s">
        <v>81</v>
      </c>
      <c r="Q17" s="69" t="s">
        <v>79</v>
      </c>
      <c r="R17" s="69"/>
      <c r="S17" s="24">
        <f t="shared" si="1"/>
        <v>7449.0267064000018</v>
      </c>
      <c r="T17" s="37">
        <f>(' KF Non-OECD Europe Eurasia '!I15+' KF Non-OECD Europe Eurasia '!I16+' KF Non-OECD Europe Eurasia '!I17+' KF Non-OECD Europe Eurasia '!I18+' KF Non-OECD Europe Eurasia '!I20)*' KF Non-OECD Europe Eurasia '!I139+(' KF Non-OECD Europe Eurasia '!I19+' KF Non-OECD Europe Eurasia '!I22)*' KF Non-OECD Europe Eurasia '!I142+' KF Non-OECD Europe Eurasia '!I21*' KF Non-OECD Europe Eurasia '!I141</f>
        <v>0.8793342922530164</v>
      </c>
      <c r="U17" s="61"/>
      <c r="V17" s="25"/>
      <c r="W17" s="25"/>
      <c r="X17" s="25"/>
      <c r="Y17" s="25"/>
      <c r="Z17" s="25"/>
      <c r="AA17" s="25"/>
      <c r="AB17" s="25"/>
      <c r="AC17" s="25"/>
      <c r="AD17" s="25"/>
      <c r="AE17" s="25"/>
      <c r="AF17" s="25">
        <f>' KF Non-OECD Europe Eurasia '!I5*' KF Non-OECD Europe Eurasia '!I7*((' KF Non-OECD Europe Eurasia '!G15+' KF Non-OECD Europe Eurasia '!G16+' KF Non-OECD Europe Eurasia '!G17+' KF Non-OECD Europe Eurasia '!G18+' KF Non-OECD Europe Eurasia '!G20)*' KF Non-OECD Europe Eurasia '!G139+(' KF Non-OECD Europe Eurasia '!G19+' KF Non-OECD Europe Eurasia '!G22)*' KF Non-OECD Europe Eurasia '!G142+' KF Non-OECD Europe Eurasia '!G21*' KF Non-OECD Europe Eurasia '!G141)*-1</f>
        <v>7449.0267064000018</v>
      </c>
      <c r="AG17" s="25">
        <f>(S17+SUM(C17:M17))*-1</f>
        <v>1022.1847225483925</v>
      </c>
      <c r="AH17" s="29">
        <f>-(C17*Emissionsfaktorer!$B$2+D17*Emissionsfaktorer!$B$3+E17*Emissionsfaktorer!$B$4+F17*Emissionsfaktorer!$B$5+G17*Emissionsfaktorer!$B$6+H17*Emissionsfaktorer!$B$7+I17*Emissionsfaktorer!$B$8+J17*Emissionsfaktorer!$B$9+K17*Emissionsfaktorer!$B$10+L17*Emissionsfaktorer!$B$11+M17*Emissionsfaktorer!$B$12)</f>
        <v>329.05822881333131</v>
      </c>
    </row>
    <row r="18" spans="3:34" x14ac:dyDescent="0.35">
      <c r="C18" s="25">
        <f>AF18*' KF Non-OECD Europe Eurasia '!I24/T18*' KF Non-OECD Europe Eurasia '!I140/' KF Non-OECD Europe Eurasia '!I$140*-1</f>
        <v>-0.66994430957516937</v>
      </c>
      <c r="D18" s="25"/>
      <c r="E18" s="25">
        <f>AF18*' KF Non-OECD Europe Eurasia '!I25/T18*' KF Non-OECD Europe Eurasia '!I140/' KF Non-OECD Europe Eurasia '!I$140*-1</f>
        <v>-4471.333936662726</v>
      </c>
      <c r="F18" s="25">
        <f>AF18*' KF Non-OECD Europe Eurasia '!I26/T18*' KF Non-OECD Europe Eurasia '!I140/' KF Non-OECD Europe Eurasia '!I$140*-1</f>
        <v>-1673.981472031606</v>
      </c>
      <c r="G18" s="25"/>
      <c r="H18" s="25"/>
      <c r="I18" s="25">
        <f>AF18*' KF Non-OECD Europe Eurasia '!I27/T18*' KF Non-OECD Europe Eurasia '!I142/' KF Non-OECD Europe Eurasia '!I$142*-1</f>
        <v>0</v>
      </c>
      <c r="J18" s="25">
        <f>AF18*' KF Non-OECD Europe Eurasia '!I28/T18*' KF Non-OECD Europe Eurasia '!I140/' KF Non-OECD Europe Eurasia '!I$140*-1</f>
        <v>-27.425845173233494</v>
      </c>
      <c r="K18" s="25">
        <f>AF18*' KF Non-OECD Europe Eurasia '!I29/T18*' KF Non-OECD Europe Eurasia '!I141/' KF Non-OECD Europe Eurasia '!I$141*-1</f>
        <v>-354.27492520721927</v>
      </c>
      <c r="L18" s="25">
        <f>AF18*' KF Non-OECD Europe Eurasia '!I30/T18*' KF Non-OECD Europe Eurasia '!I142/' KF Non-OECD Europe Eurasia '!I$142*-1</f>
        <v>0</v>
      </c>
      <c r="M18" s="25"/>
      <c r="N18" s="23">
        <f>SUM(C18:L18)</f>
        <v>-6527.6861233843601</v>
      </c>
      <c r="O18" s="6" t="s">
        <v>82</v>
      </c>
      <c r="P18" s="64" t="s">
        <v>83</v>
      </c>
      <c r="Q18" s="69" t="s">
        <v>79</v>
      </c>
      <c r="R18" s="69"/>
      <c r="S18" s="24">
        <f t="shared" si="1"/>
        <v>2188.5845384000004</v>
      </c>
      <c r="T18" s="37">
        <f>(' KF Non-OECD Europe Eurasia '!I24+' KF Non-OECD Europe Eurasia '!I25+' KF Non-OECD Europe Eurasia '!I26+' KF Non-OECD Europe Eurasia '!I28)*' KF Non-OECD Europe Eurasia '!I140+(' KF Non-OECD Europe Eurasia '!I27+' KF Non-OECD Europe Eurasia '!I30)*' KF Non-OECD Europe Eurasia '!I142+' KF Non-OECD Europe Eurasia '!I29*' KF Non-OECD Europe Eurasia '!I141</f>
        <v>0.33527723254948749</v>
      </c>
      <c r="U18" s="61"/>
      <c r="V18" s="25"/>
      <c r="W18" s="25"/>
      <c r="X18" s="25"/>
      <c r="Y18" s="25"/>
      <c r="Z18" s="25"/>
      <c r="AA18" s="25"/>
      <c r="AB18" s="25"/>
      <c r="AC18" s="25"/>
      <c r="AD18" s="25"/>
      <c r="AE18" s="25"/>
      <c r="AF18" s="25">
        <f>' KF Non-OECD Europe Eurasia '!I5*' KF Non-OECD Europe Eurasia '!I8*-1*((' KF Non-OECD Europe Eurasia '!G24+' KF Non-OECD Europe Eurasia '!G25+' KF Non-OECD Europe Eurasia '!G26+' KF Non-OECD Europe Eurasia '!G28)*' KF Non-OECD Europe Eurasia '!G140+(' KF Non-OECD Europe Eurasia '!G27+' KF Non-OECD Europe Eurasia '!G30)*' KF Non-OECD Europe Eurasia '!G142+' KF Non-OECD Europe Eurasia '!G29*' KF Non-OECD Europe Eurasia '!G141)</f>
        <v>2188.5845384000004</v>
      </c>
      <c r="AG18" s="25">
        <f>(S18+SUM(C18:M18))*-1</f>
        <v>4339.1015849843598</v>
      </c>
      <c r="AH18" s="29">
        <f>-(C18*Emissionsfaktorer!$B$2+D18*Emissionsfaktorer!$B$3+E18*Emissionsfaktorer!$B$4+F18*Emissionsfaktorer!$B$5+G18*Emissionsfaktorer!$B$6+H18*Emissionsfaktorer!$B$7+I18*Emissionsfaktorer!$B$8+J18*Emissionsfaktorer!$B$9+K18*Emissionsfaktorer!$B$10+L18*Emissionsfaktorer!$B$11+M18*Emissionsfaktorer!$B$12)</f>
        <v>435.30196780157831</v>
      </c>
    </row>
    <row r="19" spans="3:34" x14ac:dyDescent="0.35">
      <c r="C19" s="25">
        <f>SUM(C20:C24)</f>
        <v>-433.91277855021207</v>
      </c>
      <c r="D19" s="25">
        <f t="shared" ref="D19:M19" si="6">SUM(D20:D24)</f>
        <v>0</v>
      </c>
      <c r="E19" s="25">
        <f t="shared" si="6"/>
        <v>-1416.0073824976316</v>
      </c>
      <c r="F19" s="25">
        <f t="shared" si="6"/>
        <v>-4786.1492947294128</v>
      </c>
      <c r="G19" s="25">
        <f t="shared" si="6"/>
        <v>0</v>
      </c>
      <c r="H19" s="25">
        <f t="shared" si="6"/>
        <v>0</v>
      </c>
      <c r="I19" s="25">
        <f t="shared" si="6"/>
        <v>-9.6722637174123758</v>
      </c>
      <c r="J19" s="25">
        <f t="shared" si="6"/>
        <v>-582.47972900109335</v>
      </c>
      <c r="K19" s="25">
        <f t="shared" si="6"/>
        <v>-2286.1887214803996</v>
      </c>
      <c r="L19" s="25">
        <f t="shared" si="6"/>
        <v>-3720.7061888570747</v>
      </c>
      <c r="M19" s="25">
        <f t="shared" si="6"/>
        <v>0</v>
      </c>
      <c r="N19" s="23">
        <f>SUM(N20:N24)</f>
        <v>-13235.116358833235</v>
      </c>
      <c r="O19" s="6" t="s">
        <v>84</v>
      </c>
      <c r="P19" s="64" t="s">
        <v>85</v>
      </c>
      <c r="Q19" s="69" t="s">
        <v>79</v>
      </c>
      <c r="R19" s="69"/>
      <c r="S19" s="24">
        <f t="shared" si="1"/>
        <v>11472.160570547141</v>
      </c>
      <c r="T19" s="37">
        <v>0.8</v>
      </c>
      <c r="U19" s="61"/>
      <c r="V19" s="25">
        <f>SUM(V20:V24)</f>
        <v>0</v>
      </c>
      <c r="W19" s="25">
        <f t="shared" ref="W19:AH19" si="7">SUM(W20:W24)</f>
        <v>0</v>
      </c>
      <c r="X19" s="25">
        <f t="shared" si="7"/>
        <v>0</v>
      </c>
      <c r="Y19" s="25">
        <f t="shared" si="7"/>
        <v>0</v>
      </c>
      <c r="Z19" s="25">
        <f t="shared" si="7"/>
        <v>0</v>
      </c>
      <c r="AA19" s="25">
        <f t="shared" si="7"/>
        <v>0</v>
      </c>
      <c r="AB19" s="25">
        <f t="shared" si="7"/>
        <v>0</v>
      </c>
      <c r="AC19" s="25">
        <f t="shared" si="7"/>
        <v>0</v>
      </c>
      <c r="AD19" s="25">
        <f t="shared" si="7"/>
        <v>0</v>
      </c>
      <c r="AE19" s="25">
        <f t="shared" si="7"/>
        <v>0</v>
      </c>
      <c r="AF19" s="25">
        <f t="shared" si="7"/>
        <v>11472.160570547141</v>
      </c>
      <c r="AG19" s="25">
        <f t="shared" si="7"/>
        <v>1762.9557882860954</v>
      </c>
      <c r="AH19" s="25">
        <f t="shared" si="7"/>
        <v>421.64878483166666</v>
      </c>
    </row>
    <row r="20" spans="3:34" x14ac:dyDescent="0.35">
      <c r="C20" s="92">
        <f>AF20*' KF Non-OECD Europe Eurasia '!I$32/T20*' KF Non-OECD Europe Eurasia '!I$139/' KF Non-OECD Europe Eurasia '!I$139*-1</f>
        <v>-342.47262947520602</v>
      </c>
      <c r="D20" s="92"/>
      <c r="E20" s="92">
        <f>AF20*' KF Non-OECD Europe Eurasia '!I33/T20*' KF Non-OECD Europe Eurasia '!I$140/' KF Non-OECD Europe Eurasia '!I$140*-1</f>
        <v>-776.68722388257675</v>
      </c>
      <c r="F20" s="92">
        <f>AF20*' KF Non-OECD Europe Eurasia '!I$34/T20*' KF Non-OECD Europe Eurasia '!I$140/' KF Non-OECD Europe Eurasia '!I$140*-1</f>
        <v>-4034.9296972880879</v>
      </c>
      <c r="G20" s="92"/>
      <c r="H20" s="92"/>
      <c r="I20" s="92">
        <f>AF20*' KF Non-OECD Europe Eurasia '!I$35/T20*' KF Non-OECD Europe Eurasia '!I$142/' KF Non-OECD Europe Eurasia '!I$142*-1</f>
        <v>-4.5221963544837074</v>
      </c>
      <c r="J20" s="92">
        <f>AF20*' KF Non-OECD Europe Eurasia '!I$36/T20*' KF Non-OECD Europe Eurasia '!I$140/' KF Non-OECD Europe Eurasia '!I$140*-1</f>
        <v>-502.42438942083339</v>
      </c>
      <c r="K20" s="92">
        <f>AF20*' KF Non-OECD Europe Eurasia '!I$37/T20*' KF Non-OECD Europe Eurasia '!I$141/' KF Non-OECD Europe Eurasia '!I$141*-1</f>
        <v>-1186.5740767903644</v>
      </c>
      <c r="L20" s="92">
        <f>AF20*' KF Non-OECD Europe Eurasia '!I$38/T20*' KF Non-OECD Europe Eurasia '!I$142/' KF Non-OECD Europe Eurasia '!I$142*-1</f>
        <v>-2455.1757707884467</v>
      </c>
      <c r="M20" s="92"/>
      <c r="N20" s="23">
        <f>SUM(C20:L20)</f>
        <v>-9302.7859839999983</v>
      </c>
      <c r="O20" s="84" t="s">
        <v>86</v>
      </c>
      <c r="P20" s="85" t="s">
        <v>87</v>
      </c>
      <c r="Q20" s="86" t="s">
        <v>85</v>
      </c>
      <c r="R20" s="86"/>
      <c r="S20" s="24">
        <f t="shared" si="1"/>
        <v>8112.1544921471404</v>
      </c>
      <c r="T20" s="37">
        <f>(' KF Non-OECD Europe Eurasia '!I32+' KF Non-OECD Europe Eurasia '!I33+' KF Non-OECD Europe Eurasia '!I34+' KF Non-OECD Europe Eurasia '!I36)*' KF Non-OECD Europe Eurasia '!I139+(' KF Non-OECD Europe Eurasia '!I35+' KF Non-OECD Europe Eurasia '!I38)*' KF Non-OECD Europe Eurasia '!I142+' KF Non-OECD Europe Eurasia '!I37*' KF Non-OECD Europe Eurasia '!I141</f>
        <v>0.87201344910001766</v>
      </c>
      <c r="U20" s="61"/>
      <c r="V20" s="92"/>
      <c r="W20" s="92"/>
      <c r="X20" s="92"/>
      <c r="Y20" s="92"/>
      <c r="Z20" s="92"/>
      <c r="AA20" s="92"/>
      <c r="AB20" s="92"/>
      <c r="AC20" s="92"/>
      <c r="AD20" s="92"/>
      <c r="AE20" s="92"/>
      <c r="AF20" s="92">
        <f>' KF Non-OECD Europe Eurasia '!I5*' KF Non-OECD Europe Eurasia '!I9*((' KF Non-OECD Europe Eurasia '!G32+' KF Non-OECD Europe Eurasia '!G33+' KF Non-OECD Europe Eurasia '!G34+' KF Non-OECD Europe Eurasia '!G36)*' KF Non-OECD Europe Eurasia '!G139+(' KF Non-OECD Europe Eurasia '!G35+' KF Non-OECD Europe Eurasia '!G38)*' KF Non-OECD Europe Eurasia '!G142+' KF Non-OECD Europe Eurasia '!G37*' KF Non-OECD Europe Eurasia '!G141)*-1</f>
        <v>8112.1544921471404</v>
      </c>
      <c r="AG20" s="92">
        <f>(N20+AF20)*-1</f>
        <v>1190.6314918528578</v>
      </c>
      <c r="AH20" s="87">
        <f>-(C20*Emissionsfaktorer!$B$2+D20*Emissionsfaktorer!$B$3+E20*Emissionsfaktorer!$B$4+F20*Emissionsfaktorer!$B$5+G20*Emissionsfaktorer!$B$6+H20*Emissionsfaktorer!$B$7+I20*Emissionsfaktorer!$B$8+J20*Emissionsfaktorer!$B$9+K20*Emissionsfaktorer!$B$10+L20*Emissionsfaktorer!$B$11+M20*Emissionsfaktorer!$B$12)</f>
        <v>321.55412156064142</v>
      </c>
    </row>
    <row r="21" spans="3:34" x14ac:dyDescent="0.35">
      <c r="C21" s="92">
        <f>AF21*' KF Non-OECD Europe Eurasia '!I$40/T21*' KF Non-OECD Europe Eurasia '!I$139/' KF Non-OECD Europe Eurasia '!I$139*-1</f>
        <v>-71.516284815572405</v>
      </c>
      <c r="D21" s="92"/>
      <c r="E21" s="92">
        <f>AF21*' KF Non-OECD Europe Eurasia '!I41/T21*' KF Non-OECD Europe Eurasia '!I$140/' KF Non-OECD Europe Eurasia '!I$140*-1</f>
        <v>-155.09152163751764</v>
      </c>
      <c r="F21" s="92">
        <f>AF21*' KF Non-OECD Europe Eurasia '!I$42/T21*' KF Non-OECD Europe Eurasia '!I$140/' KF Non-OECD Europe Eurasia '!I$140*-1</f>
        <v>-630.37334186091482</v>
      </c>
      <c r="G21" s="92"/>
      <c r="H21" s="92"/>
      <c r="I21" s="92">
        <f>AF21*' KF Non-OECD Europe Eurasia '!I$43/T21*' KF Non-OECD Europe Eurasia '!I$142/' KF Non-OECD Europe Eurasia '!I$142*-1</f>
        <v>-4.6895924469227808</v>
      </c>
      <c r="J21" s="92">
        <f>AF21*' KF Non-OECD Europe Eurasia '!I$44/T21*' KF Non-OECD Europe Eurasia '!I$140/' KF Non-OECD Europe Eurasia '!I$140*-1</f>
        <v>-69.297102675510729</v>
      </c>
      <c r="K21" s="92">
        <f>AF21*' KF Non-OECD Europe Eurasia '!I$45/T21*' KF Non-OECD Europe Eurasia '!I$141/' KF Non-OECD Europe Eurasia '!I$141*-1</f>
        <v>-890.68759402626222</v>
      </c>
      <c r="L21" s="92">
        <f>AF21*' KF Non-OECD Europe Eurasia '!I$46/T21*' KF Non-OECD Europe Eurasia '!I$142/' KF Non-OECD Europe Eurasia '!I$142*-1</f>
        <v>-1015.2130220365154</v>
      </c>
      <c r="M21" s="92"/>
      <c r="N21" s="23">
        <f t="shared" ref="N21:N24" si="8">SUM(C21:L21)</f>
        <v>-2836.8684594992164</v>
      </c>
      <c r="O21" s="84" t="s">
        <v>88</v>
      </c>
      <c r="P21" s="85" t="s">
        <v>89</v>
      </c>
      <c r="Q21" s="86" t="s">
        <v>85</v>
      </c>
      <c r="R21" s="86"/>
      <c r="S21" s="24">
        <f t="shared" si="1"/>
        <v>2607.0784295999997</v>
      </c>
      <c r="T21" s="37">
        <f>(' KF Non-OECD Europe Eurasia '!I40+' KF Non-OECD Europe Eurasia '!I41+' KF Non-OECD Europe Eurasia '!I42+' KF Non-OECD Europe Eurasia '!I44)*' KF Non-OECD Europe Eurasia '!I139+(' KF Non-OECD Europe Eurasia '!I43+' KF Non-OECD Europe Eurasia '!I46)*' KF Non-OECD Europe Eurasia '!I142+' KF Non-OECD Europe Eurasia '!I45*' KF Non-OECD Europe Eurasia '!I141</f>
        <v>0.91899870114535354</v>
      </c>
      <c r="U21" s="61"/>
      <c r="V21" s="92"/>
      <c r="W21" s="92"/>
      <c r="X21" s="92"/>
      <c r="Y21" s="92"/>
      <c r="Z21" s="92"/>
      <c r="AA21" s="92"/>
      <c r="AB21" s="92"/>
      <c r="AC21" s="92"/>
      <c r="AD21" s="92"/>
      <c r="AE21" s="92"/>
      <c r="AF21" s="92">
        <f>' KF Non-OECD Europe Eurasia '!I5*' KF Non-OECD Europe Eurasia '!I10*((' KF Non-OECD Europe Eurasia '!G40+' KF Non-OECD Europe Eurasia '!G41+' KF Non-OECD Europe Eurasia '!G42+' KF Non-OECD Europe Eurasia '!G44)*' KF Non-OECD Europe Eurasia '!G139+(' KF Non-OECD Europe Eurasia '!G43+' KF Non-OECD Europe Eurasia '!G46)*' KF Non-OECD Europe Eurasia '!G142+' KF Non-OECD Europe Eurasia '!G45*' KF Non-OECD Europe Eurasia '!G141)*-1</f>
        <v>2607.0784295999997</v>
      </c>
      <c r="AG21" s="92">
        <f t="shared" ref="AG21:AG24" si="9">(N21+AF21)*-1</f>
        <v>229.79002989921673</v>
      </c>
      <c r="AH21" s="87">
        <f>-(C21*Emissionsfaktorer!$B$2+D21*Emissionsfaktorer!$B$3+E21*Emissionsfaktorer!$B$4+F21*Emissionsfaktorer!$B$5+G21*Emissionsfaktorer!$B$6+H21*Emissionsfaktorer!$B$7+I21*Emissionsfaktorer!$B$8+J21*Emissionsfaktorer!$B$9+K21*Emissionsfaktorer!$B$10+L21*Emissionsfaktorer!$B$11+M21*Emissionsfaktorer!$B$12)</f>
        <v>54.512283188002868</v>
      </c>
    </row>
    <row r="22" spans="3:34" x14ac:dyDescent="0.35">
      <c r="C22" s="92">
        <f>AF22*' KF Non-OECD Europe Eurasia '!I$48/T22*' KF Non-OECD Europe Eurasia '!I$139/' KF Non-OECD Europe Eurasia '!I$139*-1</f>
        <v>-8.2466871321054303</v>
      </c>
      <c r="D22" s="92"/>
      <c r="E22" s="92">
        <f>AF22*' KF Non-OECD Europe Eurasia '!I49/T22*' KF Non-OECD Europe Eurasia '!I$140/' KF Non-OECD Europe Eurasia '!I$140*-1</f>
        <v>-277.95940384355356</v>
      </c>
      <c r="F22" s="92">
        <f>AF22*' KF Non-OECD Europe Eurasia '!I$50/T22*' KF Non-OECD Europe Eurasia '!I$140/' KF Non-OECD Europe Eurasia '!I$140*-1</f>
        <v>-80.206358097025401</v>
      </c>
      <c r="G22" s="92"/>
      <c r="H22" s="92"/>
      <c r="I22" s="92">
        <f>AF22*' KF Non-OECD Europe Eurasia '!I$51/T22*' KF Non-OECD Europe Eurasia '!I$142/' KF Non-OECD Europe Eurasia '!I$142*-1</f>
        <v>-0.46047491600588697</v>
      </c>
      <c r="J22" s="92">
        <f>AF22*' KF Non-OECD Europe Eurasia '!I$52/T22*' KF Non-OECD Europe Eurasia '!I$140/' KF Non-OECD Europe Eurasia '!I$140*-1</f>
        <v>-10.046725440128442</v>
      </c>
      <c r="K22" s="92">
        <f>AF22*' KF Non-OECD Europe Eurasia '!I$53/T22*' KF Non-OECD Europe Eurasia '!I$141/' KF Non-OECD Europe Eurasia '!I$141*-1</f>
        <v>-189.54821997042319</v>
      </c>
      <c r="L22" s="92">
        <f>AF22*' KF Non-OECD Europe Eurasia '!I$54/T22*' KF Non-OECD Europe Eurasia '!I$142/' KF Non-OECD Europe Eurasia '!I$142*-1</f>
        <v>-175.85955655824827</v>
      </c>
      <c r="M22" s="92"/>
      <c r="N22" s="23">
        <f t="shared" si="8"/>
        <v>-742.32742595749016</v>
      </c>
      <c r="O22" s="84" t="s">
        <v>90</v>
      </c>
      <c r="P22" s="85" t="s">
        <v>91</v>
      </c>
      <c r="Q22" s="86" t="s">
        <v>85</v>
      </c>
      <c r="R22" s="86"/>
      <c r="S22" s="24">
        <f t="shared" si="1"/>
        <v>469.32859280000008</v>
      </c>
      <c r="T22" s="37">
        <f>(' KF Non-OECD Europe Eurasia '!I48+' KF Non-OECD Europe Eurasia '!I49+' KF Non-OECD Europe Eurasia '!I50+' KF Non-OECD Europe Eurasia '!I52)*' KF Non-OECD Europe Eurasia '!I140+(' KF Non-OECD Europe Eurasia '!I51+' KF Non-OECD Europe Eurasia '!I54)*' KF Non-OECD Europe Eurasia '!I142+' KF Non-OECD Europe Eurasia '!I53*' KF Non-OECD Europe Eurasia '!I141</f>
        <v>0.63223932780691361</v>
      </c>
      <c r="U22" s="61"/>
      <c r="V22" s="92"/>
      <c r="W22" s="92"/>
      <c r="X22" s="92"/>
      <c r="Y22" s="92"/>
      <c r="Z22" s="92"/>
      <c r="AA22" s="92"/>
      <c r="AB22" s="92"/>
      <c r="AC22" s="92"/>
      <c r="AD22" s="92"/>
      <c r="AE22" s="92"/>
      <c r="AF22" s="92">
        <f>((' KF Non-OECD Europe Eurasia '!G48+' KF Non-OECD Europe Eurasia '!G49+' KF Non-OECD Europe Eurasia '!G50+' KF Non-OECD Europe Eurasia '!G52)*' KF Non-OECD Europe Eurasia '!G140+(' KF Non-OECD Europe Eurasia '!G51+' KF Non-OECD Europe Eurasia '!G54)*' KF Non-OECD Europe Eurasia '!G142+' KF Non-OECD Europe Eurasia '!G53*' KF Non-OECD Europe Eurasia '!G141)*' KF Non-OECD Europe Eurasia '!I11*' KF Non-OECD Europe Eurasia '!I5*-1</f>
        <v>469.32859280000008</v>
      </c>
      <c r="AG22" s="92">
        <f t="shared" si="9"/>
        <v>272.99883315749008</v>
      </c>
      <c r="AH22" s="87">
        <f>-(C22*Emissionsfaktorer!$B$2+D22*Emissionsfaktorer!$B$3+E22*Emissionsfaktorer!$B$4+F22*Emissionsfaktorer!$B$5+G22*Emissionsfaktorer!$B$6+H22*Emissionsfaktorer!$B$7+I22*Emissionsfaktorer!$B$8+J22*Emissionsfaktorer!$B$9+K22*Emissionsfaktorer!$B$10+L22*Emissionsfaktorer!$B$11+M22*Emissionsfaktorer!$B$12)</f>
        <v>26.480112381190533</v>
      </c>
    </row>
    <row r="23" spans="3:34" x14ac:dyDescent="0.35">
      <c r="C23" s="92">
        <f>AF23*' KF Non-OECD Europe Eurasia '!I$56/T23*' KF Non-OECD Europe Eurasia '!I$139/' KF Non-OECD Europe Eurasia '!I$139*-1</f>
        <v>-4.1872000000000006E-2</v>
      </c>
      <c r="D23" s="92"/>
      <c r="E23" s="92">
        <f>AF23*' KF Non-OECD Europe Eurasia '!I57/T23*' KF Non-OECD Europe Eurasia '!I$140/' KF Non-OECD Europe Eurasia '!I$140*-1</f>
        <v>-33.288240000000002</v>
      </c>
      <c r="F23" s="92">
        <f>AF23*' KF Non-OECD Europe Eurasia '!I$58/T23*' KF Non-OECD Europe Eurasia '!I$140/' KF Non-OECD Europe Eurasia '!I$140*-1</f>
        <v>-8.3744000000000013E-2</v>
      </c>
      <c r="G23" s="92"/>
      <c r="H23" s="92"/>
      <c r="I23" s="92">
        <f>AF23*' KF Non-OECD Europe Eurasia '!I$59/T23*' KF Non-OECD Europe Eurasia '!I$142/' KF Non-OECD Europe Eurasia '!I$142*-1</f>
        <v>0</v>
      </c>
      <c r="J23" s="92">
        <f>AF23*' KF Non-OECD Europe Eurasia '!I$60/T23*' KF Non-OECD Europe Eurasia '!I$140/' KF Non-OECD Europe Eurasia '!I$140*-1</f>
        <v>0</v>
      </c>
      <c r="K23" s="92">
        <f>AF23*' KF Non-OECD Europe Eurasia '!I$61/T23*' KF Non-OECD Europe Eurasia '!I$141/' KF Non-OECD Europe Eurasia '!I$141*-1</f>
        <v>-1.3817759999999972</v>
      </c>
      <c r="L23" s="92">
        <f>AF23*' KF Non-OECD Europe Eurasia '!I$62/T23*' KF Non-OECD Europe Eurasia '!I$142/' KF Non-OECD Europe Eurasia '!I$142*-1</f>
        <v>-0.58620800000000006</v>
      </c>
      <c r="M23" s="92"/>
      <c r="N23" s="23">
        <f t="shared" si="8"/>
        <v>-35.381839999999997</v>
      </c>
      <c r="O23" s="84" t="s">
        <v>92</v>
      </c>
      <c r="P23" s="85" t="s">
        <v>93</v>
      </c>
      <c r="Q23" s="86" t="s">
        <v>85</v>
      </c>
      <c r="R23" s="86"/>
      <c r="S23" s="24">
        <f t="shared" si="1"/>
        <v>11.923051999999998</v>
      </c>
      <c r="T23" s="37">
        <f>(' KF Non-OECD Europe Eurasia '!I56+' KF Non-OECD Europe Eurasia '!I57+' KF Non-OECD Europe Eurasia '!I58+' KF Non-OECD Europe Eurasia '!I60)*' KF Non-OECD Europe Eurasia '!I140+(' KF Non-OECD Europe Eurasia '!I59+' KF Non-OECD Europe Eurasia '!I62)*' KF Non-OECD Europe Eurasia '!I142+' KF Non-OECD Europe Eurasia '!I61*' KF Non-OECD Europe Eurasia '!I141</f>
        <v>0.33698224852070996</v>
      </c>
      <c r="U23" s="61"/>
      <c r="V23" s="92"/>
      <c r="W23" s="92"/>
      <c r="X23" s="92"/>
      <c r="Y23" s="92"/>
      <c r="Z23" s="92"/>
      <c r="AA23" s="92"/>
      <c r="AB23" s="92"/>
      <c r="AC23" s="92"/>
      <c r="AD23" s="92"/>
      <c r="AE23" s="92"/>
      <c r="AF23" s="92">
        <f>((' KF Non-OECD Europe Eurasia '!G56+' KF Non-OECD Europe Eurasia '!G57+' KF Non-OECD Europe Eurasia '!G58+' KF Non-OECD Europe Eurasia '!G60)*' KF Non-OECD Europe Eurasia '!G140+(' KF Non-OECD Europe Eurasia '!G59+' KF Non-OECD Europe Eurasia '!G62)*' KF Non-OECD Europe Eurasia '!G142+' KF Non-OECD Europe Eurasia '!G61*' KF Non-OECD Europe Eurasia '!G141)*' KF Non-OECD Europe Eurasia '!I5*' KF Non-OECD Europe Eurasia '!I12*-1</f>
        <v>11.923051999999998</v>
      </c>
      <c r="AG23" s="92">
        <f t="shared" si="9"/>
        <v>23.458787999999998</v>
      </c>
      <c r="AH23" s="87">
        <f>-(C23*Emissionsfaktorer!$B$2+D23*Emissionsfaktorer!$B$3+E23*Emissionsfaktorer!$B$4+F23*Emissionsfaktorer!$B$5+G23*Emissionsfaktorer!$B$6+H23*Emissionsfaktorer!$B$7+I23*Emissionsfaktorer!$B$8+J23*Emissionsfaktorer!$B$9+K23*Emissionsfaktorer!$B$10+L23*Emissionsfaktorer!$B$11+M23*Emissionsfaktorer!$B$12)</f>
        <v>2.5386574880000001</v>
      </c>
    </row>
    <row r="24" spans="3:34" x14ac:dyDescent="0.35">
      <c r="C24" s="92">
        <f>AF24*' KF Non-OECD Europe Eurasia '!I$64/T24*' KF Non-OECD Europe Eurasia '!I$139/' KF Non-OECD Europe Eurasia '!I$139*-1</f>
        <v>-11.635305127328186</v>
      </c>
      <c r="D24" s="92"/>
      <c r="E24" s="92">
        <f>AF24*' KF Non-OECD Europe Eurasia '!I65/T24*' KF Non-OECD Europe Eurasia '!I$140/' KF Non-OECD Europe Eurasia '!I$140*-1</f>
        <v>-172.98099313398342</v>
      </c>
      <c r="F24" s="92">
        <f>AF24*' KF Non-OECD Europe Eurasia '!I$66/T24*' KF Non-OECD Europe Eurasia '!I$140/' KF Non-OECD Europe Eurasia '!I$140*-1</f>
        <v>-40.556153483384939</v>
      </c>
      <c r="G24" s="92"/>
      <c r="H24" s="92"/>
      <c r="I24" s="92">
        <f>AF24*' KF Non-OECD Europe Eurasia '!I$67/T24*' KF Non-OECD Europe Eurasia '!I$142/' KF Non-OECD Europe Eurasia '!I$142*-1</f>
        <v>0</v>
      </c>
      <c r="J24" s="92">
        <f>AF24*' KF Non-OECD Europe Eurasia '!I$68/T24*' KF Non-OECD Europe Eurasia '!I$140/' KF Non-OECD Europe Eurasia '!I$140*-1</f>
        <v>-0.71151146462078829</v>
      </c>
      <c r="K24" s="92">
        <f>AF24*' KF Non-OECD Europe Eurasia '!I$69/T24*' KF Non-OECD Europe Eurasia '!I$141/' KF Non-OECD Europe Eurasia '!I$141*-1</f>
        <v>-17.99705469334938</v>
      </c>
      <c r="L24" s="92">
        <f>AF24*' KF Non-OECD Europe Eurasia '!I$70/T24*' KF Non-OECD Europe Eurasia '!I$142/' KF Non-OECD Europe Eurasia '!I$142*-1</f>
        <v>-73.871631473864198</v>
      </c>
      <c r="M24" s="92"/>
      <c r="N24" s="23">
        <f t="shared" si="8"/>
        <v>-317.75264937653094</v>
      </c>
      <c r="O24" s="84" t="s">
        <v>94</v>
      </c>
      <c r="P24" s="85" t="s">
        <v>95</v>
      </c>
      <c r="Q24" s="86" t="s">
        <v>85</v>
      </c>
      <c r="R24" s="86"/>
      <c r="S24" s="24">
        <f t="shared" si="1"/>
        <v>271.67600399999998</v>
      </c>
      <c r="T24" s="37">
        <f>(' KF Non-OECD Europe Eurasia '!I64+' KF Non-OECD Europe Eurasia '!I65+' KF Non-OECD Europe Eurasia '!I66+' KF Non-OECD Europe Eurasia '!I68)*' KF Non-OECD Europe Eurasia '!I139+(' KF Non-OECD Europe Eurasia '!I67+' KF Non-OECD Europe Eurasia '!I70)*' KF Non-OECD Europe Eurasia '!I142+' KF Non-OECD Europe Eurasia '!I69*' KF Non-OECD Europe Eurasia '!I141</f>
        <v>0.85499209694415179</v>
      </c>
      <c r="U24" s="61"/>
      <c r="V24" s="92"/>
      <c r="W24" s="92"/>
      <c r="X24" s="92"/>
      <c r="Y24" s="92"/>
      <c r="Z24" s="92"/>
      <c r="AA24" s="92"/>
      <c r="AB24" s="92"/>
      <c r="AC24" s="92"/>
      <c r="AD24" s="92"/>
      <c r="AE24" s="92"/>
      <c r="AF24" s="92">
        <f>((' KF Non-OECD Europe Eurasia '!G64+' KF Non-OECD Europe Eurasia '!G65+' KF Non-OECD Europe Eurasia '!G66+' KF Non-OECD Europe Eurasia '!G68)*' KF Non-OECD Europe Eurasia '!G139+(' KF Non-OECD Europe Eurasia '!G67+' KF Non-OECD Europe Eurasia '!G70)*' KF Non-OECD Europe Eurasia '!G142+' KF Non-OECD Europe Eurasia '!G69*' KF Non-OECD Europe Eurasia '!G141)*' KF Non-OECD Europe Eurasia '!I5*' KF Non-OECD Europe Eurasia '!I13*-1</f>
        <v>271.67600399999998</v>
      </c>
      <c r="AG24" s="92">
        <f t="shared" si="9"/>
        <v>46.076645376530962</v>
      </c>
      <c r="AH24" s="87">
        <f>-(C24*Emissionsfaktorer!$B$2+D24*Emissionsfaktorer!$B$3+E24*Emissionsfaktorer!$B$4+F24*Emissionsfaktorer!$B$5+G24*Emissionsfaktorer!$B$6+H24*Emissionsfaktorer!$B$7+I24*Emissionsfaktorer!$B$8+J24*Emissionsfaktorer!$B$9+K24*Emissionsfaktorer!$B$10+L24*Emissionsfaktorer!$B$11+M24*Emissionsfaktorer!$B$12)</f>
        <v>16.563610213831858</v>
      </c>
    </row>
    <row r="25" spans="3:34" x14ac:dyDescent="0.35"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23">
        <f>N16</f>
        <v>-28234.415216000001</v>
      </c>
      <c r="O25" s="10" t="s">
        <v>11</v>
      </c>
      <c r="P25" s="71" t="s">
        <v>96</v>
      </c>
      <c r="Q25" s="71"/>
      <c r="R25" s="71"/>
      <c r="S25" s="24">
        <f t="shared" si="1"/>
        <v>21109.771815347143</v>
      </c>
      <c r="T25" s="37">
        <f>AF25/N25*-1</f>
        <v>0.74766102481147068</v>
      </c>
      <c r="U25" s="61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>
        <f>AF16</f>
        <v>21109.771815347143</v>
      </c>
      <c r="AG25" s="14">
        <f>-(S25+N25)</f>
        <v>7124.643400652858</v>
      </c>
      <c r="AH25" s="14"/>
    </row>
    <row r="28" spans="3:34" x14ac:dyDescent="0.35">
      <c r="X28" s="95"/>
    </row>
    <row r="29" spans="3:34" x14ac:dyDescent="0.35">
      <c r="X29" s="95"/>
    </row>
    <row r="30" spans="3:34" x14ac:dyDescent="0.35">
      <c r="X30" s="95"/>
    </row>
  </sheetData>
  <pageMargins left="0.7" right="0.7" top="0.75" bottom="0.75" header="0.3" footer="0.3"/>
  <pageSetup paperSize="9" orientation="portrait" horizontalDpi="4294967293" verticalDpi="4294967293"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Ark43"/>
  <dimension ref="A1:AH31"/>
  <sheetViews>
    <sheetView topLeftCell="A16" zoomScale="130" zoomScaleNormal="130" workbookViewId="0">
      <selection activeCell="E31" sqref="E31"/>
    </sheetView>
  </sheetViews>
  <sheetFormatPr defaultRowHeight="14.5" x14ac:dyDescent="0.35"/>
  <cols>
    <col min="3" max="3" width="16.453125" customWidth="1"/>
    <col min="4" max="4" width="12.81640625" customWidth="1"/>
    <col min="5" max="5" width="12.54296875" customWidth="1"/>
    <col min="6" max="6" width="16.54296875" customWidth="1"/>
    <col min="10" max="10" width="12.54296875" customWidth="1"/>
    <col min="11" max="11" width="11.54296875" customWidth="1"/>
    <col min="14" max="14" width="10.81640625" customWidth="1"/>
    <col min="15" max="15" width="51.54296875" customWidth="1"/>
    <col min="16" max="18" width="15.81640625" customWidth="1"/>
    <col min="19" max="19" width="12.81640625" customWidth="1"/>
    <col min="24" max="24" width="14.1796875" bestFit="1" customWidth="1"/>
    <col min="33" max="34" width="11.26953125" customWidth="1"/>
  </cols>
  <sheetData>
    <row r="1" spans="1:34" ht="140" x14ac:dyDescent="0.35">
      <c r="B1" s="44" t="s">
        <v>0</v>
      </c>
      <c r="C1" s="3" t="s">
        <v>1</v>
      </c>
      <c r="D1" s="8" t="s">
        <v>2</v>
      </c>
      <c r="E1" s="2" t="s">
        <v>3</v>
      </c>
      <c r="F1" s="3" t="s">
        <v>4</v>
      </c>
      <c r="G1" s="1" t="s">
        <v>5</v>
      </c>
      <c r="H1" s="1" t="s">
        <v>6</v>
      </c>
      <c r="I1" s="1" t="s">
        <v>7</v>
      </c>
      <c r="J1" s="3" t="s">
        <v>8</v>
      </c>
      <c r="K1" s="2" t="s">
        <v>9</v>
      </c>
      <c r="L1" s="2" t="s">
        <v>10</v>
      </c>
      <c r="M1" s="17" t="s">
        <v>11</v>
      </c>
      <c r="N1" s="5" t="s">
        <v>12</v>
      </c>
      <c r="O1" s="4" t="s">
        <v>263</v>
      </c>
      <c r="P1" s="60"/>
      <c r="Q1" s="60"/>
      <c r="R1" s="12" t="s">
        <v>14</v>
      </c>
      <c r="S1" s="11" t="s">
        <v>15</v>
      </c>
      <c r="T1" s="12" t="s">
        <v>16</v>
      </c>
      <c r="U1" s="44" t="s">
        <v>17</v>
      </c>
      <c r="V1" s="3" t="s">
        <v>1</v>
      </c>
      <c r="W1" s="8" t="s">
        <v>2</v>
      </c>
      <c r="X1" s="9" t="s">
        <v>3</v>
      </c>
      <c r="Y1" s="3" t="s">
        <v>4</v>
      </c>
      <c r="Z1" s="1" t="s">
        <v>5</v>
      </c>
      <c r="AA1" s="1" t="s">
        <v>6</v>
      </c>
      <c r="AB1" s="1" t="s">
        <v>7</v>
      </c>
      <c r="AC1" s="3" t="s">
        <v>8</v>
      </c>
      <c r="AD1" s="2" t="s">
        <v>9</v>
      </c>
      <c r="AE1" s="2" t="s">
        <v>10</v>
      </c>
      <c r="AF1" s="17" t="s">
        <v>11</v>
      </c>
      <c r="AG1" s="13" t="s">
        <v>18</v>
      </c>
      <c r="AH1" s="13" t="s">
        <v>19</v>
      </c>
    </row>
    <row r="2" spans="1:34" ht="24.75" customHeight="1" x14ac:dyDescent="0.35">
      <c r="A2" s="45" t="s">
        <v>20</v>
      </c>
      <c r="B2" s="46" t="s">
        <v>21</v>
      </c>
      <c r="C2" s="46" t="s">
        <v>22</v>
      </c>
      <c r="D2" s="46" t="s">
        <v>23</v>
      </c>
      <c r="E2" s="47" t="s">
        <v>24</v>
      </c>
      <c r="F2" s="46" t="s">
        <v>25</v>
      </c>
      <c r="G2" s="46" t="s">
        <v>26</v>
      </c>
      <c r="H2" s="46" t="s">
        <v>27</v>
      </c>
      <c r="I2" s="46" t="s">
        <v>28</v>
      </c>
      <c r="J2" s="48" t="s">
        <v>29</v>
      </c>
      <c r="K2" s="47" t="s">
        <v>30</v>
      </c>
      <c r="L2" s="49" t="s">
        <v>31</v>
      </c>
      <c r="M2" s="49" t="s">
        <v>32</v>
      </c>
      <c r="N2" s="50" t="s">
        <v>33</v>
      </c>
      <c r="O2" s="51"/>
      <c r="P2" s="52" t="s">
        <v>20</v>
      </c>
      <c r="Q2" s="53" t="s">
        <v>34</v>
      </c>
      <c r="R2" s="50" t="s">
        <v>35</v>
      </c>
      <c r="S2" s="54" t="s">
        <v>36</v>
      </c>
      <c r="T2" s="50" t="s">
        <v>37</v>
      </c>
      <c r="U2" s="46" t="s">
        <v>38</v>
      </c>
      <c r="V2" s="46" t="s">
        <v>39</v>
      </c>
      <c r="W2" s="46" t="s">
        <v>40</v>
      </c>
      <c r="X2" s="47" t="s">
        <v>41</v>
      </c>
      <c r="Y2" s="46" t="s">
        <v>42</v>
      </c>
      <c r="Z2" s="46" t="s">
        <v>43</v>
      </c>
      <c r="AA2" s="46" t="s">
        <v>44</v>
      </c>
      <c r="AB2" s="46" t="s">
        <v>45</v>
      </c>
      <c r="AC2" s="46" t="s">
        <v>46</v>
      </c>
      <c r="AD2" s="47" t="s">
        <v>47</v>
      </c>
      <c r="AE2" s="47" t="s">
        <v>48</v>
      </c>
      <c r="AF2" s="49" t="s">
        <v>49</v>
      </c>
      <c r="AG2" s="46" t="s">
        <v>50</v>
      </c>
      <c r="AH2" s="46" t="s">
        <v>51</v>
      </c>
    </row>
    <row r="3" spans="1:34" ht="24.75" customHeight="1" x14ac:dyDescent="0.35">
      <c r="A3" s="45" t="s">
        <v>34</v>
      </c>
      <c r="B3" s="55"/>
      <c r="C3" s="56" t="s">
        <v>52</v>
      </c>
      <c r="D3" s="56" t="s">
        <v>52</v>
      </c>
      <c r="E3" s="56" t="s">
        <v>21</v>
      </c>
      <c r="F3" s="56" t="s">
        <v>21</v>
      </c>
      <c r="G3" s="56" t="s">
        <v>21</v>
      </c>
      <c r="H3" s="56" t="s">
        <v>52</v>
      </c>
      <c r="I3" s="56" t="s">
        <v>52</v>
      </c>
      <c r="J3" s="56" t="s">
        <v>21</v>
      </c>
      <c r="K3" s="56" t="s">
        <v>21</v>
      </c>
      <c r="L3" s="57" t="s">
        <v>21</v>
      </c>
      <c r="M3" s="57" t="s">
        <v>21</v>
      </c>
      <c r="N3" s="50"/>
      <c r="O3" s="51" t="s">
        <v>53</v>
      </c>
      <c r="P3" s="52"/>
      <c r="Q3" s="53"/>
      <c r="R3" s="74"/>
      <c r="S3" s="58"/>
      <c r="T3" s="59"/>
      <c r="U3" s="55"/>
      <c r="V3" s="56" t="s">
        <v>38</v>
      </c>
      <c r="W3" s="56" t="s">
        <v>38</v>
      </c>
      <c r="X3" s="56" t="s">
        <v>38</v>
      </c>
      <c r="Y3" s="56" t="s">
        <v>38</v>
      </c>
      <c r="Z3" s="56" t="s">
        <v>38</v>
      </c>
      <c r="AA3" s="56" t="s">
        <v>38</v>
      </c>
      <c r="AB3" s="56" t="s">
        <v>54</v>
      </c>
      <c r="AC3" s="56" t="s">
        <v>38</v>
      </c>
      <c r="AD3" s="56" t="s">
        <v>38</v>
      </c>
      <c r="AE3" s="56" t="s">
        <v>38</v>
      </c>
      <c r="AF3" s="57" t="s">
        <v>38</v>
      </c>
      <c r="AG3" s="56"/>
      <c r="AH3" s="56"/>
    </row>
    <row r="4" spans="1:34" ht="24.75" customHeight="1" x14ac:dyDescent="0.35">
      <c r="A4" s="72" t="s">
        <v>55</v>
      </c>
      <c r="B4" s="72"/>
      <c r="C4" s="56"/>
      <c r="D4" s="56"/>
      <c r="E4" s="56"/>
      <c r="F4" s="56"/>
      <c r="G4" s="56"/>
      <c r="H4" s="56"/>
      <c r="I4" s="56"/>
      <c r="J4" s="56"/>
      <c r="K4" s="56"/>
      <c r="L4" s="57"/>
      <c r="M4" s="57"/>
      <c r="N4" s="50"/>
      <c r="O4" s="51"/>
      <c r="P4" s="73"/>
      <c r="Q4" s="53"/>
      <c r="R4" s="74"/>
      <c r="S4" s="58"/>
      <c r="T4" s="59"/>
      <c r="U4" s="55">
        <f>B4</f>
        <v>0</v>
      </c>
      <c r="V4" s="56"/>
      <c r="W4" s="56"/>
      <c r="X4" s="56"/>
      <c r="Y4" s="56"/>
      <c r="Z4" s="56"/>
      <c r="AA4" s="56"/>
      <c r="AB4" s="56"/>
      <c r="AC4" s="56"/>
      <c r="AD4" s="56"/>
      <c r="AE4" s="56"/>
      <c r="AF4" s="57"/>
      <c r="AG4" s="56">
        <f>U4</f>
        <v>0</v>
      </c>
      <c r="AH4" s="56">
        <f>U4</f>
        <v>0</v>
      </c>
    </row>
    <row r="5" spans="1:34" x14ac:dyDescent="0.35">
      <c r="C5" s="14"/>
      <c r="D5" s="14"/>
      <c r="E5" s="14"/>
      <c r="F5" s="14"/>
      <c r="G5" s="14"/>
      <c r="H5" s="14"/>
      <c r="I5" s="14"/>
      <c r="J5" s="14"/>
      <c r="K5" s="14"/>
      <c r="L5" s="14"/>
      <c r="M5" s="14"/>
      <c r="N5" s="23">
        <f>SUM(C5:M5)</f>
        <v>0</v>
      </c>
      <c r="O5" s="10" t="s">
        <v>56</v>
      </c>
      <c r="P5" s="62" t="s">
        <v>57</v>
      </c>
      <c r="Q5" s="63"/>
      <c r="R5" s="63"/>
      <c r="S5" s="24">
        <f>SUM(V5:AF5)</f>
        <v>40288.579743169561</v>
      </c>
      <c r="T5" s="37"/>
      <c r="U5" s="61"/>
      <c r="V5" s="14">
        <f>-(C6+C5)</f>
        <v>7464.3026292544782</v>
      </c>
      <c r="W5" s="14">
        <f>-(D6+D5)</f>
        <v>7585.4364381889482</v>
      </c>
      <c r="X5" s="14"/>
      <c r="Y5" s="14">
        <f>-(F6+F5)</f>
        <v>20886.778199348235</v>
      </c>
      <c r="Z5" s="14">
        <f>-(G6+G5)</f>
        <v>3315.511310123446</v>
      </c>
      <c r="AA5" s="14"/>
      <c r="AB5" s="14"/>
      <c r="AC5" s="14">
        <f>-(J6+J5)</f>
        <v>1036.5511662544491</v>
      </c>
      <c r="AD5" s="14"/>
      <c r="AE5" s="14"/>
      <c r="AF5" s="14"/>
      <c r="AG5" s="14"/>
      <c r="AH5" s="14"/>
    </row>
    <row r="6" spans="1:34" x14ac:dyDescent="0.35">
      <c r="C6" s="14">
        <f>-V6</f>
        <v>-7464.3026292544782</v>
      </c>
      <c r="D6" s="14">
        <f>-W6</f>
        <v>-7585.4364381889482</v>
      </c>
      <c r="E6" s="14"/>
      <c r="F6" s="14">
        <f>-Y6</f>
        <v>-20886.778199348235</v>
      </c>
      <c r="G6" s="14">
        <f>-Z6</f>
        <v>-3315.511310123446</v>
      </c>
      <c r="H6" s="14"/>
      <c r="I6" s="14"/>
      <c r="J6" s="14">
        <f>-AC6</f>
        <v>-1036.5511662544491</v>
      </c>
      <c r="K6" s="14"/>
      <c r="L6" s="18"/>
      <c r="M6" s="18"/>
      <c r="N6" s="23">
        <f t="shared" ref="N6:N15" si="0">SUM(C6:M6)</f>
        <v>-40288.579743169561</v>
      </c>
      <c r="O6" s="22" t="s">
        <v>58</v>
      </c>
      <c r="P6" s="65" t="s">
        <v>59</v>
      </c>
      <c r="Q6" s="66"/>
      <c r="R6" s="66"/>
      <c r="S6" s="24">
        <f t="shared" ref="S6:S25" si="1">SUM(V6:AF6)</f>
        <v>40288.579743169561</v>
      </c>
      <c r="T6" s="37"/>
      <c r="U6" s="61"/>
      <c r="V6" s="14">
        <f>-(C16+C8)</f>
        <v>7464.3026292544782</v>
      </c>
      <c r="W6" s="14">
        <f>-(D16+D8)</f>
        <v>7585.4364381889482</v>
      </c>
      <c r="X6" s="14"/>
      <c r="Y6" s="14">
        <f>-(F16+F8)</f>
        <v>20886.778199348235</v>
      </c>
      <c r="Z6" s="14">
        <f>-(G16+G8)</f>
        <v>3315.511310123446</v>
      </c>
      <c r="AA6" s="14"/>
      <c r="AB6" s="14"/>
      <c r="AC6" s="14">
        <f>-(J16+J8)</f>
        <v>1036.5511662544491</v>
      </c>
      <c r="AD6" s="14"/>
      <c r="AE6" s="14"/>
      <c r="AF6" s="14"/>
      <c r="AG6" s="21">
        <f>-(N6+S6)</f>
        <v>0</v>
      </c>
      <c r="AH6" s="21"/>
    </row>
    <row r="7" spans="1:34" x14ac:dyDescent="0.35"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23">
        <f t="shared" si="0"/>
        <v>0</v>
      </c>
      <c r="O7" s="22" t="s">
        <v>60</v>
      </c>
      <c r="P7" s="67" t="s">
        <v>61</v>
      </c>
      <c r="Q7" s="66"/>
      <c r="R7" s="66"/>
      <c r="S7" s="24">
        <f t="shared" si="1"/>
        <v>1178.6306724222081</v>
      </c>
      <c r="T7" s="37"/>
      <c r="U7" s="61"/>
      <c r="V7" s="14"/>
      <c r="W7" s="14"/>
      <c r="X7" s="14"/>
      <c r="Y7" s="14"/>
      <c r="Z7" s="16"/>
      <c r="AA7" s="19">
        <f>-H8</f>
        <v>1112.4232913285769</v>
      </c>
      <c r="AB7" s="19">
        <f>-I8</f>
        <v>66.207381093631213</v>
      </c>
      <c r="AC7" s="14"/>
      <c r="AD7" s="14"/>
      <c r="AE7" s="14"/>
      <c r="AF7" s="14"/>
      <c r="AG7" s="14"/>
      <c r="AH7" s="14"/>
    </row>
    <row r="8" spans="1:34" x14ac:dyDescent="0.35">
      <c r="C8" s="14">
        <f>SUM(C9:C13)</f>
        <v>-5423.3757923882986</v>
      </c>
      <c r="D8" s="14">
        <f t="shared" ref="D8:M8" si="2">SUM(D9:D13)</f>
        <v>-7584.1802714809173</v>
      </c>
      <c r="E8" s="14">
        <f t="shared" si="2"/>
        <v>-758.58914043431355</v>
      </c>
      <c r="F8" s="14">
        <f t="shared" si="2"/>
        <v>-12140.96836287768</v>
      </c>
      <c r="G8" s="14">
        <f t="shared" si="2"/>
        <v>-3315.511310123446</v>
      </c>
      <c r="H8" s="14">
        <f t="shared" si="2"/>
        <v>-1112.4232913285769</v>
      </c>
      <c r="I8" s="14">
        <f t="shared" si="2"/>
        <v>-66.207381093631213</v>
      </c>
      <c r="J8" s="14">
        <f t="shared" si="2"/>
        <v>-308.10532706560048</v>
      </c>
      <c r="K8" s="14">
        <f t="shared" si="2"/>
        <v>-1118.787681752257</v>
      </c>
      <c r="L8" s="14">
        <f t="shared" si="2"/>
        <v>-711.02843199999995</v>
      </c>
      <c r="M8" s="14">
        <f t="shared" si="2"/>
        <v>0</v>
      </c>
      <c r="N8" s="23">
        <f t="shared" si="0"/>
        <v>-32539.176990544718</v>
      </c>
      <c r="O8" s="22" t="s">
        <v>62</v>
      </c>
      <c r="P8" s="67" t="s">
        <v>63</v>
      </c>
      <c r="Q8" s="66"/>
      <c r="R8" s="66">
        <f>'Størrelse på strømme'!E18</f>
        <v>0</v>
      </c>
      <c r="S8" s="24">
        <f t="shared" si="1"/>
        <v>20466.392249970497</v>
      </c>
      <c r="T8" s="37"/>
      <c r="U8" s="61"/>
      <c r="V8" s="14">
        <f>SUM(V9:V13)</f>
        <v>0</v>
      </c>
      <c r="W8" s="14"/>
      <c r="X8" s="14">
        <f>(E14+E8)*-1</f>
        <v>7253.4545518220457</v>
      </c>
      <c r="Y8" s="14"/>
      <c r="Z8" s="14"/>
      <c r="AA8" s="14"/>
      <c r="AB8" s="14"/>
      <c r="AC8" s="14"/>
      <c r="AD8" s="14">
        <f>(K14+K8)*-1</f>
        <v>6334.5773371673367</v>
      </c>
      <c r="AE8" s="14">
        <f>(L14+L8)*-1</f>
        <v>6878.3603609811144</v>
      </c>
      <c r="AF8" s="14"/>
      <c r="AG8" s="21">
        <f>-(N8+S8)</f>
        <v>12072.784740574221</v>
      </c>
      <c r="AH8" s="21">
        <f>SUM(AH9:AH13)</f>
        <v>1264.9086716339239</v>
      </c>
    </row>
    <row r="9" spans="1:34" x14ac:dyDescent="0.35">
      <c r="C9" s="26">
        <f>-($AD$9+$H$9+$I$9)/$T$9*' KF Non-OECD Europe Eurasia '!$H109</f>
        <v>-1211.0978062907027</v>
      </c>
      <c r="D9" s="26">
        <f>-($AD$9+$H$9+$I$9)/$T$9*' KF Non-OECD Europe Eurasia '!$H110</f>
        <v>0</v>
      </c>
      <c r="E9" s="26">
        <f>-($AD$9+$H$9+$I$9)/$T$9*' KF Non-OECD Europe Eurasia '!$H111</f>
        <v>-96.047655675601945</v>
      </c>
      <c r="F9" s="26">
        <f>-($AD$9+$H$9+$I$9)/$T$9*' KF Non-OECD Europe Eurasia '!$H112</f>
        <v>-858.39366186475343</v>
      </c>
      <c r="G9" s="26">
        <f>-($AD$9+$H$9+$I$9)/$T$9*' KF Non-OECD Europe Eurasia '!$H113</f>
        <v>-3294.2479737237145</v>
      </c>
      <c r="H9" s="26">
        <f>AD9*' KF Non-OECD Europe Eurasia '!H94*-1</f>
        <v>-1112.4232913285769</v>
      </c>
      <c r="I9" s="26">
        <f>AD9*' KF Non-OECD Europe Eurasia '!H95*-1</f>
        <v>-65.619023687287168</v>
      </c>
      <c r="J9" s="26">
        <f>-($AD$9+$H$9+$I$9)/$T$9*' KF Non-OECD Europe Eurasia '!$H114</f>
        <v>-14.13516553142385</v>
      </c>
      <c r="K9" s="25"/>
      <c r="L9" s="25"/>
      <c r="M9" s="25"/>
      <c r="N9" s="23">
        <f t="shared" si="0"/>
        <v>-6651.9645781020599</v>
      </c>
      <c r="O9" s="6" t="s">
        <v>64</v>
      </c>
      <c r="P9" s="68" t="s">
        <v>65</v>
      </c>
      <c r="Q9" s="69" t="s">
        <v>63</v>
      </c>
      <c r="R9" s="69"/>
      <c r="S9" s="24">
        <f t="shared" si="1"/>
        <v>3005.3989788986028</v>
      </c>
      <c r="T9" s="37">
        <f>' KF Non-OECD Europe Eurasia '!H104</f>
        <v>0.33382948753321812</v>
      </c>
      <c r="U9" s="61"/>
      <c r="V9" s="28"/>
      <c r="W9" s="28"/>
      <c r="X9" s="28"/>
      <c r="Y9" s="28"/>
      <c r="Z9" s="28"/>
      <c r="AA9" s="28"/>
      <c r="AB9" s="28"/>
      <c r="AC9" s="28"/>
      <c r="AD9" s="28">
        <f>AD8-AD10</f>
        <v>3005.3989788986028</v>
      </c>
      <c r="AE9" s="28"/>
      <c r="AF9" s="28"/>
      <c r="AG9" s="29">
        <f>-(S9+N9)</f>
        <v>3646.5655992034572</v>
      </c>
      <c r="AH9" s="29">
        <f>-(C9*Emissionsfaktorer!$B$2*(1-' KF Non-OECD Europe Eurasia '!H134)+D9*Emissionsfaktorer!$B$3+E9*Emissionsfaktorer!$B$4*(1-' KF Non-OECD Europe Eurasia '!H135)+F9*Emissionsfaktorer!$B$5*(1-' KF Non-OECD Europe Eurasia '!H136)+G9*Emissionsfaktorer!$B$6+H9*Emissionsfaktorer!$B$7+I9*Emissionsfaktorer!$B$8-J9*Emissionsfaktorer!B13*' KF Non-OECD Europe Eurasia '!H137+K9*Emissionsfaktorer!$B$10+L9*Emissionsfaktorer!$B$11+M9*Emissionsfaktorer!$B$12)</f>
        <v>171.28235215525345</v>
      </c>
    </row>
    <row r="10" spans="1:34" x14ac:dyDescent="0.35">
      <c r="C10" s="26">
        <f>-($AD$10+$AE$10+$H$10+$I$10)/$T$10*' KF Non-OECD Europe Eurasia '!$H116</f>
        <v>-3559.3816595455592</v>
      </c>
      <c r="D10" s="26">
        <f>-($AD$10+$AE$10+$H$10+$I$10)/$T$10*' KF Non-OECD Europe Eurasia '!$H117</f>
        <v>-0.88247048299280706</v>
      </c>
      <c r="E10" s="26">
        <f>-($AD$10+$AE$10+$H$10+$I$10)/$T$10*' KF Non-OECD Europe Eurasia '!$H118</f>
        <v>-132.37057244892105</v>
      </c>
      <c r="F10" s="26">
        <f>-($AD$10+$AE$10+$H$10+$I$10)/$T$10*' KF Non-OECD Europe Eurasia '!$H119</f>
        <v>-8014.0086128853454</v>
      </c>
      <c r="G10" s="26">
        <f>-($AD$10+$AE$10+$H$10+$I$10)/$T$10*' KF Non-OECD Europe Eurasia '!$H120</f>
        <v>-21.263336399731443</v>
      </c>
      <c r="H10" s="26"/>
      <c r="I10" s="26">
        <f>(AD10+AE10)*' KF Non-OECD Europe Eurasia '!H98*-1</f>
        <v>0</v>
      </c>
      <c r="J10" s="26">
        <f>-($AD$10+$AE$10+$H$10+$I$10)/$T$10*' KF Non-OECD Europe Eurasia '!$H121</f>
        <v>-139.43033631286352</v>
      </c>
      <c r="K10" s="25"/>
      <c r="L10" s="25"/>
      <c r="M10" s="25"/>
      <c r="N10" s="23">
        <f t="shared" si="0"/>
        <v>-11867.336988075414</v>
      </c>
      <c r="O10" s="6" t="s">
        <v>66</v>
      </c>
      <c r="P10" s="68" t="s">
        <v>67</v>
      </c>
      <c r="Q10" s="69" t="s">
        <v>63</v>
      </c>
      <c r="R10" s="69"/>
      <c r="S10" s="24">
        <f t="shared" si="1"/>
        <v>7256.2959434991117</v>
      </c>
      <c r="T10" s="37">
        <f>' KF Non-OECD Europe Eurasia '!H105</f>
        <v>0.61145107371522467</v>
      </c>
      <c r="U10" s="61"/>
      <c r="V10" s="28"/>
      <c r="W10" s="28"/>
      <c r="X10" s="28"/>
      <c r="Y10" s="28"/>
      <c r="Z10" s="28"/>
      <c r="AA10" s="28"/>
      <c r="AB10" s="28"/>
      <c r="AC10" s="28"/>
      <c r="AD10" s="28">
        <f>AE10*' KF Non-OECD Europe Eurasia '!H90</f>
        <v>3329.178358268734</v>
      </c>
      <c r="AE10" s="28">
        <f>AE8*' KF Non-OECD Europe Eurasia '!H85</f>
        <v>3927.1175852303782</v>
      </c>
      <c r="AF10" s="28"/>
      <c r="AG10" s="29">
        <f t="shared" ref="AG10:AG11" si="3">-(S10+N10)</f>
        <v>4611.0410445763027</v>
      </c>
      <c r="AH10" s="29">
        <f>-(C10*Emissionsfaktorer!$B$2*(1-' KF Non-OECD Europe Eurasia '!H135)+D10*Emissionsfaktorer!$B$3+E10*Emissionsfaktorer!$B$4*(1-' KF Non-OECD Europe Eurasia '!H136)+F10*Emissionsfaktorer!$B$5*(1-' KF Non-OECD Europe Eurasia '!H137)+G10*Emissionsfaktorer!$B$6+H10*Emissionsfaktorer!$B$7+I10*Emissionsfaktorer!$B$8-J10*Emissionsfaktorer!B14*' KF Non-OECD Europe Eurasia '!H142+K10*Emissionsfaktorer!$B$10+L10*Emissionsfaktorer!$B$11+M10*Emissionsfaktorer!$B$12)</f>
        <v>804.99991209741086</v>
      </c>
    </row>
    <row r="11" spans="1:34" x14ac:dyDescent="0.35">
      <c r="C11" s="26">
        <f>-($AE$11+$H$11+$I$11)/$T$11*' KF Non-OECD Europe Eurasia '!$H123</f>
        <v>-505.67437455203668</v>
      </c>
      <c r="D11" s="26">
        <f>-($AE$11+$H$11+$I$11)/$T$11*' KF Non-OECD Europe Eurasia '!$H124</f>
        <v>-19.747686522714115</v>
      </c>
      <c r="E11" s="26">
        <f>-($AE$11+$H$11+$I$11)/$T$11*' KF Non-OECD Europe Eurasia '!$H125</f>
        <v>-190.29588830979057</v>
      </c>
      <c r="F11" s="26">
        <f>-($AE$11+$H$11+$I$11)/$T$11*' KF Non-OECD Europe Eurasia '!$H126</f>
        <v>-2148.4063441275807</v>
      </c>
      <c r="G11" s="26">
        <f>-($AE$11+$H$11+$I$11)/$T$11*' KF Non-OECD Europe Eurasia '!$H127</f>
        <v>0</v>
      </c>
      <c r="H11" s="26"/>
      <c r="I11" s="26">
        <f>AE11*' KF Non-OECD Europe Eurasia '!H101*-1</f>
        <v>-0.58835740634404143</v>
      </c>
      <c r="J11" s="26">
        <f>-($AE$11+$H$11+$I$11)/$T$11*' KF Non-OECD Europe Eurasia '!$H128</f>
        <v>-146.45852922131311</v>
      </c>
      <c r="K11" s="28">
        <f>AE11*' KF Non-OECD Europe Eurasia '!H88*-1</f>
        <v>-14.120577752256994</v>
      </c>
      <c r="L11" s="25"/>
      <c r="M11" s="25"/>
      <c r="N11" s="23">
        <f t="shared" si="0"/>
        <v>-3025.2917578920365</v>
      </c>
      <c r="O11" s="6" t="s">
        <v>68</v>
      </c>
      <c r="P11" s="64" t="s">
        <v>69</v>
      </c>
      <c r="Q11" s="69" t="s">
        <v>63</v>
      </c>
      <c r="R11" s="69"/>
      <c r="S11" s="24">
        <f t="shared" si="1"/>
        <v>2951.2427757507362</v>
      </c>
      <c r="T11" s="37">
        <f>' KF Non-OECD Europe Eurasia '!H106</f>
        <v>0.98009408545863175</v>
      </c>
      <c r="U11" s="61"/>
      <c r="V11" s="28"/>
      <c r="W11" s="28"/>
      <c r="X11" s="28"/>
      <c r="Y11" s="28"/>
      <c r="Z11" s="28"/>
      <c r="AA11" s="28"/>
      <c r="AB11" s="28"/>
      <c r="AC11" s="28"/>
      <c r="AD11" s="28"/>
      <c r="AE11" s="28">
        <f>AE8*' KF Non-OECD Europe Eurasia '!H86</f>
        <v>2951.2427757507362</v>
      </c>
      <c r="AF11" s="28"/>
      <c r="AG11" s="29">
        <f t="shared" si="3"/>
        <v>74.048982141300257</v>
      </c>
      <c r="AH11" s="29">
        <f>-(C11*Emissionsfaktorer!$B$2+D11*Emissionsfaktorer!$B$3+E11*Emissionsfaktorer!$B$4+F11*Emissionsfaktorer!$B$5+G11*Emissionsfaktorer!$B$6+H11*Emissionsfaktorer!$B$7+I11*Emissionsfaktorer!$B$8+J11*Emissionsfaktorer!$B$9+K11*Emissionsfaktorer!$B$10+L11*Emissionsfaktorer!$B$11+M11*Emissionsfaktorer!$B$12)</f>
        <v>184.96071470925966</v>
      </c>
    </row>
    <row r="12" spans="1:34" x14ac:dyDescent="0.35">
      <c r="C12" s="26"/>
      <c r="D12" s="26">
        <f>-X12/T12*' KF Non-OECD Europe Eurasia '!H130</f>
        <v>-7475.9538904752108</v>
      </c>
      <c r="E12" s="25"/>
      <c r="F12" s="26"/>
      <c r="G12" s="26"/>
      <c r="H12" s="26"/>
      <c r="I12" s="26"/>
      <c r="J12" s="27">
        <f>-X12/T12*' KF Non-OECD Europe Eurasia '!H131</f>
        <v>0</v>
      </c>
      <c r="K12" s="25"/>
      <c r="L12" s="25"/>
      <c r="M12" s="25"/>
      <c r="N12" s="23">
        <f t="shared" si="0"/>
        <v>-7475.9538904752108</v>
      </c>
      <c r="O12" s="6" t="s">
        <v>70</v>
      </c>
      <c r="P12" s="64" t="s">
        <v>71</v>
      </c>
      <c r="Q12" s="69" t="s">
        <v>63</v>
      </c>
      <c r="R12" s="69"/>
      <c r="S12" s="24">
        <f t="shared" si="1"/>
        <v>7253.4545518220457</v>
      </c>
      <c r="T12" s="37">
        <f>' KF Non-OECD Europe Eurasia '!H107</f>
        <v>0.97023800013846506</v>
      </c>
      <c r="U12" s="61"/>
      <c r="V12" s="28"/>
      <c r="W12" s="28"/>
      <c r="X12" s="28">
        <f>-(E9+E10+E11+E13+E14)</f>
        <v>7253.4545518220457</v>
      </c>
      <c r="Y12" s="28"/>
      <c r="Z12" s="28"/>
      <c r="AA12" s="28"/>
      <c r="AB12" s="28"/>
      <c r="AC12" s="28"/>
      <c r="AD12" s="28"/>
      <c r="AE12" s="28"/>
      <c r="AF12" s="28"/>
      <c r="AG12" s="29">
        <f>-(S12+N12)</f>
        <v>222.49933865316507</v>
      </c>
      <c r="AH12" s="29">
        <f>J12*Emissionsfaktorer!B4</f>
        <v>0</v>
      </c>
    </row>
    <row r="13" spans="1:34" x14ac:dyDescent="0.35">
      <c r="C13" s="28">
        <f>N13*' KF Non-OECD Europe Eurasia '!H79</f>
        <v>-147.22195199999999</v>
      </c>
      <c r="D13" s="28">
        <f>N13*' KF Non-OECD Europe Eurasia '!H81</f>
        <v>-87.596223999999992</v>
      </c>
      <c r="E13" s="28">
        <f>N13*' KF Non-OECD Europe Eurasia '!H82</f>
        <v>-339.875024</v>
      </c>
      <c r="F13" s="28">
        <f>N13*' KF Non-OECD Europe Eurasia '!H80</f>
        <v>-1120.1597439999998</v>
      </c>
      <c r="G13" s="28"/>
      <c r="H13" s="28"/>
      <c r="I13" s="28"/>
      <c r="J13" s="36">
        <f>N13*' KF Non-OECD Europe Eurasia '!H83</f>
        <v>-8.0812959999999983</v>
      </c>
      <c r="K13" s="28">
        <f>N13*' KF Non-OECD Europe Eurasia '!H77</f>
        <v>-1104.6671039999999</v>
      </c>
      <c r="L13" s="28">
        <f>N13*' KF Non-OECD Europe Eurasia '!H78</f>
        <v>-711.02843199999995</v>
      </c>
      <c r="M13" s="25"/>
      <c r="N13" s="23">
        <f>N16*' KF Non-OECD Europe Eurasia '!H75</f>
        <v>-3518.6297759999998</v>
      </c>
      <c r="O13" s="6" t="s">
        <v>72</v>
      </c>
      <c r="P13" s="64" t="s">
        <v>73</v>
      </c>
      <c r="Q13" s="69" t="s">
        <v>63</v>
      </c>
      <c r="R13" s="69"/>
      <c r="S13" s="24">
        <f t="shared" si="1"/>
        <v>0</v>
      </c>
      <c r="T13" s="37">
        <v>0</v>
      </c>
      <c r="U13" s="61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9">
        <f>-(S13+N13)</f>
        <v>3518.6297759999998</v>
      </c>
      <c r="AH13" s="29">
        <f>-(C13*Emissionsfaktorer!$B$2+D13*Emissionsfaktorer!$B$3+E13*Emissionsfaktorer!$B$4+F13*Emissionsfaktorer!$B$5+G13*Emissionsfaktorer!$B$6+H13*Emissionsfaktorer!$B$7+I13*Emissionsfaktorer!$B$8+J13*Emissionsfaktorer!$B$9+K13*Emissionsfaktorer!$B$10+L13*Emissionsfaktorer!$B$11+M13*Emissionsfaktorer!$B$12)</f>
        <v>103.66569267199999</v>
      </c>
    </row>
    <row r="14" spans="1:34" x14ac:dyDescent="0.35">
      <c r="C14" s="15"/>
      <c r="D14" s="15"/>
      <c r="E14" s="16">
        <f>-X14*1</f>
        <v>-6494.8654113877319</v>
      </c>
      <c r="F14" s="15"/>
      <c r="G14" s="15"/>
      <c r="H14" s="15"/>
      <c r="I14" s="15"/>
      <c r="J14" s="20"/>
      <c r="K14" s="16">
        <f>-AD14*(1+' KF Non-OECD Europe Eurasia '!H72)</f>
        <v>-5215.7896554150802</v>
      </c>
      <c r="L14" s="16">
        <f>-AE14*(1+' KF Non-OECD Europe Eurasia '!H73)</f>
        <v>-6167.3319289811143</v>
      </c>
      <c r="M14" s="16"/>
      <c r="N14" s="23">
        <f t="shared" si="0"/>
        <v>-17877.986995783926</v>
      </c>
      <c r="O14" s="22" t="s">
        <v>74</v>
      </c>
      <c r="P14" s="66" t="s">
        <v>75</v>
      </c>
      <c r="Q14" s="70"/>
      <c r="R14" s="70"/>
      <c r="S14" s="24">
        <f t="shared" si="1"/>
        <v>16707.819223767761</v>
      </c>
      <c r="T14" s="37"/>
      <c r="U14" s="61"/>
      <c r="V14" s="16"/>
      <c r="W14" s="16"/>
      <c r="X14" s="16">
        <f>-E16</f>
        <v>6494.8654113877319</v>
      </c>
      <c r="Y14" s="16"/>
      <c r="Z14" s="16"/>
      <c r="AA14" s="16"/>
      <c r="AB14" s="16"/>
      <c r="AC14" s="16"/>
      <c r="AD14" s="16">
        <f>-K16</f>
        <v>4606.7832669920836</v>
      </c>
      <c r="AE14" s="16">
        <f>-L16</f>
        <v>5606.1705453879467</v>
      </c>
      <c r="AF14" s="16"/>
      <c r="AG14" s="21">
        <f>-(N14+S14)</f>
        <v>1170.1677720161642</v>
      </c>
      <c r="AH14" s="21"/>
    </row>
    <row r="15" spans="1:34" x14ac:dyDescent="0.35"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23">
        <f t="shared" si="0"/>
        <v>0</v>
      </c>
      <c r="O15" s="22" t="s">
        <v>76</v>
      </c>
      <c r="P15" s="67" t="s">
        <v>77</v>
      </c>
      <c r="Q15" s="66"/>
      <c r="R15" s="66"/>
      <c r="S15" s="24">
        <f t="shared" si="1"/>
        <v>9.7560081646144408</v>
      </c>
      <c r="T15" s="37"/>
      <c r="U15" s="61"/>
      <c r="V15" s="14"/>
      <c r="W15" s="14"/>
      <c r="X15" s="14"/>
      <c r="Y15" s="14"/>
      <c r="Z15" s="14"/>
      <c r="AA15" s="14"/>
      <c r="AB15" s="14">
        <f>I16*-1</f>
        <v>9.7560081646144408</v>
      </c>
      <c r="AC15" s="14"/>
      <c r="AD15" s="14"/>
      <c r="AE15" s="14"/>
      <c r="AF15" s="14"/>
      <c r="AG15" s="14"/>
      <c r="AH15" s="14"/>
    </row>
    <row r="16" spans="1:34" x14ac:dyDescent="0.35">
      <c r="C16" s="14">
        <f t="shared" ref="C16:M16" si="4">SUM(C17:C19)</f>
        <v>-2040.9268368661799</v>
      </c>
      <c r="D16" s="14">
        <f t="shared" si="4"/>
        <v>-1.2561667080309615</v>
      </c>
      <c r="E16" s="14">
        <f t="shared" si="4"/>
        <v>-6494.8654113877319</v>
      </c>
      <c r="F16" s="14">
        <f t="shared" si="4"/>
        <v>-8745.8098364705547</v>
      </c>
      <c r="G16" s="14">
        <f t="shared" si="4"/>
        <v>0</v>
      </c>
      <c r="H16" s="14">
        <f t="shared" si="4"/>
        <v>0</v>
      </c>
      <c r="I16" s="14">
        <f t="shared" si="4"/>
        <v>-9.7560081646144408</v>
      </c>
      <c r="J16" s="14">
        <f t="shared" si="4"/>
        <v>-728.44583918884859</v>
      </c>
      <c r="K16" s="14">
        <f t="shared" si="4"/>
        <v>-4606.7832669920836</v>
      </c>
      <c r="L16" s="14">
        <f t="shared" si="4"/>
        <v>-5606.1705453879467</v>
      </c>
      <c r="M16" s="14">
        <f t="shared" si="4"/>
        <v>0</v>
      </c>
      <c r="N16" s="23">
        <f>' KF Non-OECD Europe Eurasia '!H5</f>
        <v>-28234.415216000001</v>
      </c>
      <c r="O16" s="10" t="s">
        <v>78</v>
      </c>
      <c r="P16" s="71" t="s">
        <v>79</v>
      </c>
      <c r="Q16" s="71"/>
      <c r="R16" s="71">
        <f>'Størrelse på strømme'!E20</f>
        <v>0</v>
      </c>
      <c r="S16" s="24">
        <f t="shared" si="1"/>
        <v>21109.771815347143</v>
      </c>
      <c r="T16" s="37"/>
      <c r="U16" s="61"/>
      <c r="V16" s="14"/>
      <c r="W16" s="14"/>
      <c r="X16" s="14"/>
      <c r="Y16" s="14"/>
      <c r="Z16" s="14"/>
      <c r="AA16" s="14"/>
      <c r="AB16" s="14"/>
      <c r="AC16" s="14"/>
      <c r="AD16" s="14"/>
      <c r="AE16" s="14"/>
      <c r="AF16" s="14">
        <f>SUM(AF17:AF19)</f>
        <v>21109.771815347143</v>
      </c>
      <c r="AG16" s="14">
        <f t="shared" ref="AG16:AH16" si="5">SUM(AG17:AG19)</f>
        <v>7124.2420958188477</v>
      </c>
      <c r="AH16" s="14">
        <f t="shared" si="5"/>
        <v>1186.0089814465764</v>
      </c>
    </row>
    <row r="17" spans="3:34" x14ac:dyDescent="0.35">
      <c r="C17" s="25">
        <f>AF17*' KF Non-OECD Europe Eurasia '!H15/T17*' KF Non-OECD Europe Eurasia '!H139/' KF Non-OECD Europe Eurasia '!H$139*-1</f>
        <v>-1606.3441140063926</v>
      </c>
      <c r="D17" s="25">
        <f>AF17*' KF Non-OECD Europe Eurasia '!H16/T17*' KF Non-OECD Europe Eurasia '!H139/' KF Non-OECD Europe Eurasia '!H$139*-1</f>
        <v>-1.2561667080309615</v>
      </c>
      <c r="E17" s="25">
        <f>AF17*' KF Non-OECD Europe Eurasia '!H17/T17*' KF Non-OECD Europe Eurasia '!H139/' KF Non-OECD Europe Eurasia '!H$139*-1</f>
        <v>-607.52409222737413</v>
      </c>
      <c r="F17" s="25">
        <f>AF17*' KF Non-OECD Europe Eurasia '!H18/T17*' KF Non-OECD Europe Eurasia '!H139/' KF Non-OECD Europe Eurasia '!H$139*-1</f>
        <v>-2285.6790697095366</v>
      </c>
      <c r="G17" s="25"/>
      <c r="H17" s="25"/>
      <c r="I17" s="25">
        <f>AF17*' KF Non-OECD Europe Eurasia '!H19/T17*' KF Non-OECD Europe Eurasia '!H142/' KF Non-OECD Europe Eurasia '!H$142*-1</f>
        <v>-8.3744447202064115E-2</v>
      </c>
      <c r="J17" s="25">
        <f>AF17*' KF Non-OECD Europe Eurasia '!H20*' KF Non-OECD Europe Eurasia '!H139/T17/' KF Non-OECD Europe Eurasia '!H$139*-1</f>
        <v>-118.54026501452176</v>
      </c>
      <c r="K17" s="25">
        <f>AF17*' KF Non-OECD Europe Eurasia '!H21*' KF Non-OECD Europe Eurasia '!H141/T17/' KF Non-OECD Europe Eurasia '!H$141*-1</f>
        <v>-1966.3196203044647</v>
      </c>
      <c r="L17" s="25">
        <f>AF17*' KF Non-OECD Europe Eurasia '!H22*' KF Non-OECD Europe Eurasia '!H142/T17/' KF Non-OECD Europe Eurasia '!H$142*-1</f>
        <v>-1885.4643565308722</v>
      </c>
      <c r="M17" s="25"/>
      <c r="N17" s="23">
        <f>SUM(C17:L17)</f>
        <v>-8471.2114289483943</v>
      </c>
      <c r="O17" s="6" t="s">
        <v>80</v>
      </c>
      <c r="P17" s="64" t="s">
        <v>81</v>
      </c>
      <c r="Q17" s="69" t="s">
        <v>79</v>
      </c>
      <c r="R17" s="69"/>
      <c r="S17" s="24">
        <f t="shared" si="1"/>
        <v>7449.0267064000018</v>
      </c>
      <c r="T17" s="37">
        <f>(' KF Non-OECD Europe Eurasia '!H15+' KF Non-OECD Europe Eurasia '!H16+' KF Non-OECD Europe Eurasia '!H17+' KF Non-OECD Europe Eurasia '!H18+' KF Non-OECD Europe Eurasia '!H20)*' KF Non-OECD Europe Eurasia '!H139+(' KF Non-OECD Europe Eurasia '!H19+' KF Non-OECD Europe Eurasia '!H22)*' KF Non-OECD Europe Eurasia '!H142+' KF Non-OECD Europe Eurasia '!H21*' KF Non-OECD Europe Eurasia '!H141</f>
        <v>0.8793342922530164</v>
      </c>
      <c r="U17" s="61"/>
      <c r="V17" s="25"/>
      <c r="W17" s="25"/>
      <c r="X17" s="25"/>
      <c r="Y17" s="25"/>
      <c r="Z17" s="25"/>
      <c r="AA17" s="25"/>
      <c r="AB17" s="25"/>
      <c r="AC17" s="25"/>
      <c r="AD17" s="25"/>
      <c r="AE17" s="25"/>
      <c r="AF17" s="25">
        <f>' KF Non-OECD Europe Eurasia '!H5*' KF Non-OECD Europe Eurasia '!H7*((' KF Non-OECD Europe Eurasia '!G15+' KF Non-OECD Europe Eurasia '!G16+' KF Non-OECD Europe Eurasia '!G17+' KF Non-OECD Europe Eurasia '!G18+' KF Non-OECD Europe Eurasia '!G20)*' KF Non-OECD Europe Eurasia '!G139+(' KF Non-OECD Europe Eurasia '!G19+' KF Non-OECD Europe Eurasia '!G22)*' KF Non-OECD Europe Eurasia '!G142+' KF Non-OECD Europe Eurasia '!G21*' KF Non-OECD Europe Eurasia '!G141)*-1</f>
        <v>7449.0267064000018</v>
      </c>
      <c r="AG17" s="25">
        <f>(S17+SUM(C17:M17))*-1</f>
        <v>1022.1847225483925</v>
      </c>
      <c r="AH17" s="29">
        <f>-(C17*Emissionsfaktorer!$B$2+D17*Emissionsfaktorer!$B$3+E17*Emissionsfaktorer!$B$4+F17*Emissionsfaktorer!$B$5+G17*Emissionsfaktorer!$B$6+H17*Emissionsfaktorer!$B$7+I17*Emissionsfaktorer!$B$8+J17*Emissionsfaktorer!$B$9+K17*Emissionsfaktorer!$B$10+L17*Emissionsfaktorer!$B$11+M17*Emissionsfaktorer!$B$12)</f>
        <v>329.05822881333131</v>
      </c>
    </row>
    <row r="18" spans="3:34" x14ac:dyDescent="0.35">
      <c r="C18" s="25">
        <f>AF18*' KF Non-OECD Europe Eurasia '!H24/T18*' KF Non-OECD Europe Eurasia '!H140/' KF Non-OECD Europe Eurasia '!H$140*-1</f>
        <v>-0.66994430957516937</v>
      </c>
      <c r="D18" s="25"/>
      <c r="E18" s="25">
        <f>AF18*' KF Non-OECD Europe Eurasia '!H25/T18*' KF Non-OECD Europe Eurasia '!H140/' KF Non-OECD Europe Eurasia '!H$140*-1</f>
        <v>-4471.333936662726</v>
      </c>
      <c r="F18" s="25">
        <f>AF18*' KF Non-OECD Europe Eurasia '!H26/T18*' KF Non-OECD Europe Eurasia '!H140/' KF Non-OECD Europe Eurasia '!H$140*-1</f>
        <v>-1673.981472031606</v>
      </c>
      <c r="G18" s="25"/>
      <c r="H18" s="25"/>
      <c r="I18" s="25">
        <f>AF18*' KF Non-OECD Europe Eurasia '!H27/T18*' KF Non-OECD Europe Eurasia '!H142/' KF Non-OECD Europe Eurasia '!H$142*-1</f>
        <v>0</v>
      </c>
      <c r="J18" s="25">
        <f>AF18*' KF Non-OECD Europe Eurasia '!H28/T18*' KF Non-OECD Europe Eurasia '!H140/' KF Non-OECD Europe Eurasia '!H$140*-1</f>
        <v>-27.425845173233494</v>
      </c>
      <c r="K18" s="25">
        <f>AF18*' KF Non-OECD Europe Eurasia '!H29/T18*' KF Non-OECD Europe Eurasia '!H141/' KF Non-OECD Europe Eurasia '!H$141*-1</f>
        <v>-354.27492520721927</v>
      </c>
      <c r="L18" s="25">
        <f>AF18*' KF Non-OECD Europe Eurasia '!H30/T18*' KF Non-OECD Europe Eurasia '!H142/' KF Non-OECD Europe Eurasia '!H$142*-1</f>
        <v>0</v>
      </c>
      <c r="M18" s="25"/>
      <c r="N18" s="23">
        <f>SUM(C18:L18)</f>
        <v>-6527.6861233843601</v>
      </c>
      <c r="O18" s="6" t="s">
        <v>82</v>
      </c>
      <c r="P18" s="64" t="s">
        <v>83</v>
      </c>
      <c r="Q18" s="69" t="s">
        <v>79</v>
      </c>
      <c r="R18" s="69"/>
      <c r="S18" s="24">
        <f t="shared" si="1"/>
        <v>2188.5845384000004</v>
      </c>
      <c r="T18" s="37">
        <f>(' KF Non-OECD Europe Eurasia '!H24+' KF Non-OECD Europe Eurasia '!H25+' KF Non-OECD Europe Eurasia '!H26+' KF Non-OECD Europe Eurasia '!H28)*' KF Non-OECD Europe Eurasia '!H140+(' KF Non-OECD Europe Eurasia '!H27+' KF Non-OECD Europe Eurasia '!H30)*' KF Non-OECD Europe Eurasia '!H142+' KF Non-OECD Europe Eurasia '!H29*' KF Non-OECD Europe Eurasia '!H141</f>
        <v>0.33527723254948749</v>
      </c>
      <c r="U18" s="61"/>
      <c r="V18" s="25"/>
      <c r="W18" s="25"/>
      <c r="X18" s="25"/>
      <c r="Y18" s="25"/>
      <c r="Z18" s="25"/>
      <c r="AA18" s="25"/>
      <c r="AB18" s="25"/>
      <c r="AC18" s="25"/>
      <c r="AD18" s="25"/>
      <c r="AE18" s="25"/>
      <c r="AF18" s="25">
        <f>' KF Non-OECD Europe Eurasia '!H5*' KF Non-OECD Europe Eurasia '!H8*-1*((' KF Non-OECD Europe Eurasia '!G24+' KF Non-OECD Europe Eurasia '!G25+' KF Non-OECD Europe Eurasia '!G26+' KF Non-OECD Europe Eurasia '!G28)*' KF Non-OECD Europe Eurasia '!G140+(' KF Non-OECD Europe Eurasia '!G27+' KF Non-OECD Europe Eurasia '!G30)*' KF Non-OECD Europe Eurasia '!G142+' KF Non-OECD Europe Eurasia '!G29*' KF Non-OECD Europe Eurasia '!G141)</f>
        <v>2188.5845384000004</v>
      </c>
      <c r="AG18" s="25">
        <f>(S18+SUM(C18:M18))*-1</f>
        <v>4339.1015849843598</v>
      </c>
      <c r="AH18" s="29">
        <f>-(C18*Emissionsfaktorer!$B$2+D18*Emissionsfaktorer!$B$3+E18*Emissionsfaktorer!$B$4+F18*Emissionsfaktorer!$B$5+G18*Emissionsfaktorer!$B$6+H18*Emissionsfaktorer!$B$7+I18*Emissionsfaktorer!$B$8+J18*Emissionsfaktorer!$B$9+K18*Emissionsfaktorer!$B$10+L18*Emissionsfaktorer!$B$11+M18*Emissionsfaktorer!$B$12)</f>
        <v>435.30196780157831</v>
      </c>
    </row>
    <row r="19" spans="3:34" x14ac:dyDescent="0.35">
      <c r="C19" s="25">
        <f>SUM(C20:C24)</f>
        <v>-433.91277855021207</v>
      </c>
      <c r="D19" s="25">
        <f t="shared" ref="D19:M19" si="6">SUM(D20:D24)</f>
        <v>0</v>
      </c>
      <c r="E19" s="25">
        <f t="shared" si="6"/>
        <v>-1416.0073824976316</v>
      </c>
      <c r="F19" s="25">
        <f t="shared" si="6"/>
        <v>-4786.1492947294128</v>
      </c>
      <c r="G19" s="25">
        <f t="shared" si="6"/>
        <v>0</v>
      </c>
      <c r="H19" s="25">
        <f t="shared" si="6"/>
        <v>0</v>
      </c>
      <c r="I19" s="25">
        <f t="shared" si="6"/>
        <v>-9.6722637174123758</v>
      </c>
      <c r="J19" s="25">
        <f t="shared" si="6"/>
        <v>-582.47972900109335</v>
      </c>
      <c r="K19" s="25">
        <f t="shared" si="6"/>
        <v>-2286.1887214803996</v>
      </c>
      <c r="L19" s="25">
        <f t="shared" si="6"/>
        <v>-3720.7061888570747</v>
      </c>
      <c r="M19" s="25">
        <f t="shared" si="6"/>
        <v>0</v>
      </c>
      <c r="N19" s="23">
        <f>SUM(N20:N24)</f>
        <v>-13235.116358833235</v>
      </c>
      <c r="O19" s="6" t="s">
        <v>84</v>
      </c>
      <c r="P19" s="64" t="s">
        <v>85</v>
      </c>
      <c r="Q19" s="69" t="s">
        <v>79</v>
      </c>
      <c r="R19" s="69"/>
      <c r="S19" s="24">
        <f t="shared" si="1"/>
        <v>11472.160570547141</v>
      </c>
      <c r="T19" s="37">
        <v>0.8</v>
      </c>
      <c r="U19" s="61"/>
      <c r="V19" s="25">
        <f>SUM(V20:V24)</f>
        <v>0</v>
      </c>
      <c r="W19" s="25">
        <f t="shared" ref="W19:AH19" si="7">SUM(W20:W24)</f>
        <v>0</v>
      </c>
      <c r="X19" s="25">
        <f t="shared" si="7"/>
        <v>0</v>
      </c>
      <c r="Y19" s="25">
        <f t="shared" si="7"/>
        <v>0</v>
      </c>
      <c r="Z19" s="25">
        <f t="shared" si="7"/>
        <v>0</v>
      </c>
      <c r="AA19" s="25">
        <f t="shared" si="7"/>
        <v>0</v>
      </c>
      <c r="AB19" s="25">
        <f t="shared" si="7"/>
        <v>0</v>
      </c>
      <c r="AC19" s="25">
        <f t="shared" si="7"/>
        <v>0</v>
      </c>
      <c r="AD19" s="25">
        <f t="shared" si="7"/>
        <v>0</v>
      </c>
      <c r="AE19" s="25">
        <f t="shared" si="7"/>
        <v>0</v>
      </c>
      <c r="AF19" s="25">
        <f t="shared" si="7"/>
        <v>11472.160570547141</v>
      </c>
      <c r="AG19" s="25">
        <f t="shared" si="7"/>
        <v>1762.9557882860954</v>
      </c>
      <c r="AH19" s="25">
        <f t="shared" si="7"/>
        <v>421.64878483166666</v>
      </c>
    </row>
    <row r="20" spans="3:34" x14ac:dyDescent="0.35">
      <c r="C20" s="92">
        <f>AF20*' KF Non-OECD Europe Eurasia '!H$32/T20*' KF Non-OECD Europe Eurasia '!H$139/' KF Non-OECD Europe Eurasia '!H$139*-1</f>
        <v>-342.47262947520602</v>
      </c>
      <c r="D20" s="92"/>
      <c r="E20" s="92">
        <f>AF20*' KF Non-OECD Europe Eurasia '!H33/T20*' KF Non-OECD Europe Eurasia '!H$140/' KF Non-OECD Europe Eurasia '!H$140*-1</f>
        <v>-776.68722388257675</v>
      </c>
      <c r="F20" s="92">
        <f>AF20*' KF Non-OECD Europe Eurasia '!H$34/T20*' KF Non-OECD Europe Eurasia '!H$140/' KF Non-OECD Europe Eurasia '!H$140*-1</f>
        <v>-4034.9296972880879</v>
      </c>
      <c r="G20" s="92"/>
      <c r="H20" s="92"/>
      <c r="I20" s="92">
        <f>AF20*' KF Non-OECD Europe Eurasia '!H$35/T20*' KF Non-OECD Europe Eurasia '!H$142/' KF Non-OECD Europe Eurasia '!H$142*-1</f>
        <v>-4.5221963544837074</v>
      </c>
      <c r="J20" s="92">
        <f>AF20*' KF Non-OECD Europe Eurasia '!H$36/T20*' KF Non-OECD Europe Eurasia '!H$140/' KF Non-OECD Europe Eurasia '!H$140*-1</f>
        <v>-502.42438942083339</v>
      </c>
      <c r="K20" s="92">
        <f>AF20*' KF Non-OECD Europe Eurasia '!H$37/T20*' KF Non-OECD Europe Eurasia '!H$141/' KF Non-OECD Europe Eurasia '!H$141*-1</f>
        <v>-1186.5740767903644</v>
      </c>
      <c r="L20" s="92">
        <f>AF20*' KF Non-OECD Europe Eurasia '!H$38/T20*' KF Non-OECD Europe Eurasia '!H$142/' KF Non-OECD Europe Eurasia '!H$142*-1</f>
        <v>-2455.1757707884467</v>
      </c>
      <c r="M20" s="92"/>
      <c r="N20" s="23">
        <f>SUM(C20:L20)</f>
        <v>-9302.7859839999983</v>
      </c>
      <c r="O20" s="84" t="s">
        <v>86</v>
      </c>
      <c r="P20" s="85" t="s">
        <v>87</v>
      </c>
      <c r="Q20" s="86" t="s">
        <v>85</v>
      </c>
      <c r="R20" s="86"/>
      <c r="S20" s="24">
        <f t="shared" si="1"/>
        <v>8112.1544921471404</v>
      </c>
      <c r="T20" s="37">
        <f>(' KF Non-OECD Europe Eurasia '!H32+' KF Non-OECD Europe Eurasia '!H33+' KF Non-OECD Europe Eurasia '!H34+' KF Non-OECD Europe Eurasia '!H36)*' KF Non-OECD Europe Eurasia '!H139+(' KF Non-OECD Europe Eurasia '!H35+' KF Non-OECD Europe Eurasia '!H38)*' KF Non-OECD Europe Eurasia '!H142+' KF Non-OECD Europe Eurasia '!H37*' KF Non-OECD Europe Eurasia '!H141</f>
        <v>0.87201344910001766</v>
      </c>
      <c r="U20" s="61"/>
      <c r="V20" s="92"/>
      <c r="W20" s="92"/>
      <c r="X20" s="92"/>
      <c r="Y20" s="92"/>
      <c r="Z20" s="92"/>
      <c r="AA20" s="92"/>
      <c r="AB20" s="92"/>
      <c r="AC20" s="92"/>
      <c r="AD20" s="92"/>
      <c r="AE20" s="92"/>
      <c r="AF20" s="92">
        <f>' KF Non-OECD Europe Eurasia '!H5*' KF Non-OECD Europe Eurasia '!H9*((' KF Non-OECD Europe Eurasia '!G32+' KF Non-OECD Europe Eurasia '!G33+' KF Non-OECD Europe Eurasia '!G34+' KF Non-OECD Europe Eurasia '!G36)*' KF Non-OECD Europe Eurasia '!G139+(' KF Non-OECD Europe Eurasia '!G35+' KF Non-OECD Europe Eurasia '!G38)*' KF Non-OECD Europe Eurasia '!G142+' KF Non-OECD Europe Eurasia '!G37*' KF Non-OECD Europe Eurasia '!G141)*-1</f>
        <v>8112.1544921471404</v>
      </c>
      <c r="AG20" s="92">
        <f>(N20+AF20)*-1</f>
        <v>1190.6314918528578</v>
      </c>
      <c r="AH20" s="87">
        <f>-(C20*Emissionsfaktorer!$B$2+D20*Emissionsfaktorer!$B$3+E20*Emissionsfaktorer!$B$4+F20*Emissionsfaktorer!$B$5+G20*Emissionsfaktorer!$B$6+H20*Emissionsfaktorer!$B$7+I20*Emissionsfaktorer!$B$8+J20*Emissionsfaktorer!$B$9+K20*Emissionsfaktorer!$B$10+L20*Emissionsfaktorer!$B$11+M20*Emissionsfaktorer!$B$12)</f>
        <v>321.55412156064142</v>
      </c>
    </row>
    <row r="21" spans="3:34" x14ac:dyDescent="0.35">
      <c r="C21" s="92">
        <f>AF21*' KF Non-OECD Europe Eurasia '!H$40/T21*' KF Non-OECD Europe Eurasia '!H$139/' KF Non-OECD Europe Eurasia '!H$139*-1</f>
        <v>-71.516284815572405</v>
      </c>
      <c r="D21" s="92"/>
      <c r="E21" s="92">
        <f>AF21*' KF Non-OECD Europe Eurasia '!H41/T21*' KF Non-OECD Europe Eurasia '!H$140/' KF Non-OECD Europe Eurasia '!H$140*-1</f>
        <v>-155.09152163751764</v>
      </c>
      <c r="F21" s="92">
        <f>AF21*' KF Non-OECD Europe Eurasia '!H$42/T21*' KF Non-OECD Europe Eurasia '!H$140/' KF Non-OECD Europe Eurasia '!H$140*-1</f>
        <v>-630.37334186091482</v>
      </c>
      <c r="G21" s="92"/>
      <c r="H21" s="92"/>
      <c r="I21" s="92">
        <f>AF21*' KF Non-OECD Europe Eurasia '!H$43/T21*' KF Non-OECD Europe Eurasia '!H$142/' KF Non-OECD Europe Eurasia '!H$142*-1</f>
        <v>-4.6895924469227808</v>
      </c>
      <c r="J21" s="92">
        <f>AF21*' KF Non-OECD Europe Eurasia '!H$44/T21*' KF Non-OECD Europe Eurasia '!H$140/' KF Non-OECD Europe Eurasia '!H$140*-1</f>
        <v>-69.297102675510729</v>
      </c>
      <c r="K21" s="92">
        <f>AF21*' KF Non-OECD Europe Eurasia '!H$45/T21*' KF Non-OECD Europe Eurasia '!H$141/' KF Non-OECD Europe Eurasia '!H$141*-1</f>
        <v>-890.68759402626222</v>
      </c>
      <c r="L21" s="92">
        <f>AF21*' KF Non-OECD Europe Eurasia '!H$46/T21*' KF Non-OECD Europe Eurasia '!H$142/' KF Non-OECD Europe Eurasia '!H$142*-1</f>
        <v>-1015.2130220365154</v>
      </c>
      <c r="M21" s="92"/>
      <c r="N21" s="23">
        <f t="shared" ref="N21:N24" si="8">SUM(C21:L21)</f>
        <v>-2836.8684594992164</v>
      </c>
      <c r="O21" s="84" t="s">
        <v>88</v>
      </c>
      <c r="P21" s="85" t="s">
        <v>89</v>
      </c>
      <c r="Q21" s="86" t="s">
        <v>85</v>
      </c>
      <c r="R21" s="86"/>
      <c r="S21" s="24">
        <f t="shared" si="1"/>
        <v>2607.0784295999997</v>
      </c>
      <c r="T21" s="37">
        <f>(' KF Non-OECD Europe Eurasia '!H40+' KF Non-OECD Europe Eurasia '!H41+' KF Non-OECD Europe Eurasia '!H42+' KF Non-OECD Europe Eurasia '!H44)*' KF Non-OECD Europe Eurasia '!H139+(' KF Non-OECD Europe Eurasia '!H43+' KF Non-OECD Europe Eurasia '!H46)*' KF Non-OECD Europe Eurasia '!H142+' KF Non-OECD Europe Eurasia '!H45*' KF Non-OECD Europe Eurasia '!H141</f>
        <v>0.91899870114535354</v>
      </c>
      <c r="U21" s="61"/>
      <c r="V21" s="92"/>
      <c r="W21" s="92"/>
      <c r="X21" s="92"/>
      <c r="Y21" s="92"/>
      <c r="Z21" s="92"/>
      <c r="AA21" s="92"/>
      <c r="AB21" s="92"/>
      <c r="AC21" s="92"/>
      <c r="AD21" s="92"/>
      <c r="AE21" s="92"/>
      <c r="AF21" s="92">
        <f>' KF Non-OECD Europe Eurasia '!H5*' KF Non-OECD Europe Eurasia '!H10*((' KF Non-OECD Europe Eurasia '!G40+' KF Non-OECD Europe Eurasia '!G41+' KF Non-OECD Europe Eurasia '!G42+' KF Non-OECD Europe Eurasia '!G44)*' KF Non-OECD Europe Eurasia '!G139+(' KF Non-OECD Europe Eurasia '!G43+' KF Non-OECD Europe Eurasia '!G46)*' KF Non-OECD Europe Eurasia '!G142+' KF Non-OECD Europe Eurasia '!G45*' KF Non-OECD Europe Eurasia '!G141)*-1</f>
        <v>2607.0784295999997</v>
      </c>
      <c r="AG21" s="92">
        <f t="shared" ref="AG21:AG24" si="9">(N21+AF21)*-1</f>
        <v>229.79002989921673</v>
      </c>
      <c r="AH21" s="87">
        <f>-(C21*Emissionsfaktorer!$B$2+D21*Emissionsfaktorer!$B$3+E21*Emissionsfaktorer!$B$4+F21*Emissionsfaktorer!$B$5+G21*Emissionsfaktorer!$B$6+H21*Emissionsfaktorer!$B$7+I21*Emissionsfaktorer!$B$8+J21*Emissionsfaktorer!$B$9+K21*Emissionsfaktorer!$B$10+L21*Emissionsfaktorer!$B$11+M21*Emissionsfaktorer!$B$12)</f>
        <v>54.512283188002868</v>
      </c>
    </row>
    <row r="22" spans="3:34" x14ac:dyDescent="0.35">
      <c r="C22" s="92">
        <f>AF22*' KF Non-OECD Europe Eurasia '!H$48/T22*' KF Non-OECD Europe Eurasia '!H$139/' KF Non-OECD Europe Eurasia '!H$139*-1</f>
        <v>-8.2466871321054303</v>
      </c>
      <c r="D22" s="92"/>
      <c r="E22" s="92">
        <f>AF22*' KF Non-OECD Europe Eurasia '!H49/T22*' KF Non-OECD Europe Eurasia '!H$140/' KF Non-OECD Europe Eurasia '!H$140*-1</f>
        <v>-277.95940384355356</v>
      </c>
      <c r="F22" s="92">
        <f>AF22*' KF Non-OECD Europe Eurasia '!H$50/T22*' KF Non-OECD Europe Eurasia '!H$140/' KF Non-OECD Europe Eurasia '!H$140*-1</f>
        <v>-80.206358097025401</v>
      </c>
      <c r="G22" s="92"/>
      <c r="H22" s="92"/>
      <c r="I22" s="92">
        <f>AF22*' KF Non-OECD Europe Eurasia '!H$51/T22*' KF Non-OECD Europe Eurasia '!H$142/' KF Non-OECD Europe Eurasia '!H$142*-1</f>
        <v>-0.46047491600588697</v>
      </c>
      <c r="J22" s="92">
        <f>AF22*' KF Non-OECD Europe Eurasia '!H$52/T22*' KF Non-OECD Europe Eurasia '!H$140/' KF Non-OECD Europe Eurasia '!H$140*-1</f>
        <v>-10.046725440128442</v>
      </c>
      <c r="K22" s="92">
        <f>AF22*' KF Non-OECD Europe Eurasia '!H$53/T22*' KF Non-OECD Europe Eurasia '!H$141/' KF Non-OECD Europe Eurasia '!H$141*-1</f>
        <v>-189.54821997042319</v>
      </c>
      <c r="L22" s="92">
        <f>AF22*' KF Non-OECD Europe Eurasia '!H$54/T22*' KF Non-OECD Europe Eurasia '!H$142/' KF Non-OECD Europe Eurasia '!H$142*-1</f>
        <v>-175.85955655824827</v>
      </c>
      <c r="M22" s="92"/>
      <c r="N22" s="23">
        <f t="shared" si="8"/>
        <v>-742.32742595749016</v>
      </c>
      <c r="O22" s="84" t="s">
        <v>90</v>
      </c>
      <c r="P22" s="85" t="s">
        <v>91</v>
      </c>
      <c r="Q22" s="86" t="s">
        <v>85</v>
      </c>
      <c r="R22" s="86"/>
      <c r="S22" s="24">
        <f t="shared" si="1"/>
        <v>469.32859280000008</v>
      </c>
      <c r="T22" s="37">
        <f>(' KF Non-OECD Europe Eurasia '!H48+' KF Non-OECD Europe Eurasia '!H49+' KF Non-OECD Europe Eurasia '!H50+' KF Non-OECD Europe Eurasia '!H52)*' KF Non-OECD Europe Eurasia '!H140+(' KF Non-OECD Europe Eurasia '!H51+' KF Non-OECD Europe Eurasia '!H54)*' KF Non-OECD Europe Eurasia '!H142+' KF Non-OECD Europe Eurasia '!H53*' KF Non-OECD Europe Eurasia '!H141</f>
        <v>0.63223932780691361</v>
      </c>
      <c r="U22" s="61"/>
      <c r="V22" s="92"/>
      <c r="W22" s="92"/>
      <c r="X22" s="92"/>
      <c r="Y22" s="92"/>
      <c r="Z22" s="92"/>
      <c r="AA22" s="92"/>
      <c r="AB22" s="92"/>
      <c r="AC22" s="92"/>
      <c r="AD22" s="92"/>
      <c r="AE22" s="92"/>
      <c r="AF22" s="92">
        <f>((' KF Non-OECD Europe Eurasia '!G48+' KF Non-OECD Europe Eurasia '!G49+' KF Non-OECD Europe Eurasia '!G50+' KF Non-OECD Europe Eurasia '!G52)*' KF Non-OECD Europe Eurasia '!G140+(' KF Non-OECD Europe Eurasia '!G51+' KF Non-OECD Europe Eurasia '!G54)*' KF Non-OECD Europe Eurasia '!G142+' KF Non-OECD Europe Eurasia '!G53*' KF Non-OECD Europe Eurasia '!G141)*' KF Non-OECD Europe Eurasia '!H11*' KF Non-OECD Europe Eurasia '!H5*-1</f>
        <v>469.32859280000008</v>
      </c>
      <c r="AG22" s="92">
        <f t="shared" si="9"/>
        <v>272.99883315749008</v>
      </c>
      <c r="AH22" s="87">
        <f>-(C22*Emissionsfaktorer!$B$2+D22*Emissionsfaktorer!$B$3+E22*Emissionsfaktorer!$B$4+F22*Emissionsfaktorer!$B$5+G22*Emissionsfaktorer!$B$6+H22*Emissionsfaktorer!$B$7+I22*Emissionsfaktorer!$B$8+J22*Emissionsfaktorer!$B$9+K22*Emissionsfaktorer!$B$10+L22*Emissionsfaktorer!$B$11+M22*Emissionsfaktorer!$B$12)</f>
        <v>26.480112381190533</v>
      </c>
    </row>
    <row r="23" spans="3:34" x14ac:dyDescent="0.35">
      <c r="C23" s="92">
        <f>AF23*' KF Non-OECD Europe Eurasia '!H$56/T23*' KF Non-OECD Europe Eurasia '!H$139/' KF Non-OECD Europe Eurasia '!H$139*-1</f>
        <v>-4.1872000000000006E-2</v>
      </c>
      <c r="D23" s="92"/>
      <c r="E23" s="92">
        <f>AF23*' KF Non-OECD Europe Eurasia '!H57/T23*' KF Non-OECD Europe Eurasia '!H$140/' KF Non-OECD Europe Eurasia '!H$140*-1</f>
        <v>-33.288240000000002</v>
      </c>
      <c r="F23" s="92">
        <f>AF23*' KF Non-OECD Europe Eurasia '!H$58/T23*' KF Non-OECD Europe Eurasia '!H$140/' KF Non-OECD Europe Eurasia '!H$140*-1</f>
        <v>-8.3744000000000013E-2</v>
      </c>
      <c r="G23" s="92"/>
      <c r="H23" s="92"/>
      <c r="I23" s="92">
        <f>AF23*' KF Non-OECD Europe Eurasia '!H$59/T23*' KF Non-OECD Europe Eurasia '!H$142/' KF Non-OECD Europe Eurasia '!H$142*-1</f>
        <v>0</v>
      </c>
      <c r="J23" s="92">
        <f>AF23*' KF Non-OECD Europe Eurasia '!H$60/T23*' KF Non-OECD Europe Eurasia '!H$140/' KF Non-OECD Europe Eurasia '!H$140*-1</f>
        <v>0</v>
      </c>
      <c r="K23" s="92">
        <f>AF23*' KF Non-OECD Europe Eurasia '!H$61/T23*' KF Non-OECD Europe Eurasia '!H$141/' KF Non-OECD Europe Eurasia '!H$141*-1</f>
        <v>-1.3817759999999972</v>
      </c>
      <c r="L23" s="92">
        <f>AF23*' KF Non-OECD Europe Eurasia '!H$62/T23*' KF Non-OECD Europe Eurasia '!H$142/' KF Non-OECD Europe Eurasia '!H$142*-1</f>
        <v>-0.58620800000000006</v>
      </c>
      <c r="M23" s="92"/>
      <c r="N23" s="23">
        <f t="shared" si="8"/>
        <v>-35.381839999999997</v>
      </c>
      <c r="O23" s="84" t="s">
        <v>92</v>
      </c>
      <c r="P23" s="85" t="s">
        <v>93</v>
      </c>
      <c r="Q23" s="86" t="s">
        <v>85</v>
      </c>
      <c r="R23" s="86"/>
      <c r="S23" s="24">
        <f t="shared" si="1"/>
        <v>11.923051999999998</v>
      </c>
      <c r="T23" s="37">
        <f>(' KF Non-OECD Europe Eurasia '!H56+' KF Non-OECD Europe Eurasia '!H57+' KF Non-OECD Europe Eurasia '!H58+' KF Non-OECD Europe Eurasia '!H60)*' KF Non-OECD Europe Eurasia '!H140+(' KF Non-OECD Europe Eurasia '!H59+' KF Non-OECD Europe Eurasia '!H62)*' KF Non-OECD Europe Eurasia '!H142+' KF Non-OECD Europe Eurasia '!H61*' KF Non-OECD Europe Eurasia '!H141</f>
        <v>0.33698224852070996</v>
      </c>
      <c r="U23" s="61"/>
      <c r="V23" s="92"/>
      <c r="W23" s="92"/>
      <c r="X23" s="92"/>
      <c r="Y23" s="92"/>
      <c r="Z23" s="92"/>
      <c r="AA23" s="92"/>
      <c r="AB23" s="92"/>
      <c r="AC23" s="92"/>
      <c r="AD23" s="92"/>
      <c r="AE23" s="92"/>
      <c r="AF23" s="92">
        <f>((' KF Non-OECD Europe Eurasia '!G56+' KF Non-OECD Europe Eurasia '!G57+' KF Non-OECD Europe Eurasia '!G58+' KF Non-OECD Europe Eurasia '!G60)*' KF Non-OECD Europe Eurasia '!G140+(' KF Non-OECD Europe Eurasia '!G59+' KF Non-OECD Europe Eurasia '!G62)*' KF Non-OECD Europe Eurasia '!G142+' KF Non-OECD Europe Eurasia '!G61*' KF Non-OECD Europe Eurasia '!G141)*' KF Non-OECD Europe Eurasia '!H5*' KF Non-OECD Europe Eurasia '!H12*-1</f>
        <v>11.923051999999998</v>
      </c>
      <c r="AG23" s="92">
        <f t="shared" si="9"/>
        <v>23.458787999999998</v>
      </c>
      <c r="AH23" s="87">
        <f>-(C23*Emissionsfaktorer!$B$2+D23*Emissionsfaktorer!$B$3+E23*Emissionsfaktorer!$B$4+F23*Emissionsfaktorer!$B$5+G23*Emissionsfaktorer!$B$6+H23*Emissionsfaktorer!$B$7+I23*Emissionsfaktorer!$B$8+J23*Emissionsfaktorer!$B$9+K23*Emissionsfaktorer!$B$10+L23*Emissionsfaktorer!$B$11+M23*Emissionsfaktorer!$B$12)</f>
        <v>2.5386574880000001</v>
      </c>
    </row>
    <row r="24" spans="3:34" x14ac:dyDescent="0.35">
      <c r="C24" s="92">
        <f>AF24*' KF Non-OECD Europe Eurasia '!H$64/T24*' KF Non-OECD Europe Eurasia '!H$139/' KF Non-OECD Europe Eurasia '!H$139*-1</f>
        <v>-11.635305127328186</v>
      </c>
      <c r="D24" s="92"/>
      <c r="E24" s="92">
        <f>AF24*' KF Non-OECD Europe Eurasia '!H65/T24*' KF Non-OECD Europe Eurasia '!H$140/' KF Non-OECD Europe Eurasia '!H$140*-1</f>
        <v>-172.98099313398342</v>
      </c>
      <c r="F24" s="92">
        <f>AF24*' KF Non-OECD Europe Eurasia '!H$66/T24*' KF Non-OECD Europe Eurasia '!H$140/' KF Non-OECD Europe Eurasia '!H$140*-1</f>
        <v>-40.556153483384939</v>
      </c>
      <c r="G24" s="92"/>
      <c r="H24" s="92"/>
      <c r="I24" s="92">
        <f>AF24*' KF Non-OECD Europe Eurasia '!H$67/T24*' KF Non-OECD Europe Eurasia '!H$142/' KF Non-OECD Europe Eurasia '!H$142*-1</f>
        <v>0</v>
      </c>
      <c r="J24" s="92">
        <f>AF24*' KF Non-OECD Europe Eurasia '!H$68/T24*' KF Non-OECD Europe Eurasia '!H$140/' KF Non-OECD Europe Eurasia '!H$140*-1</f>
        <v>-0.71151146462078829</v>
      </c>
      <c r="K24" s="92">
        <f>AF24*' KF Non-OECD Europe Eurasia '!H$69/T24*' KF Non-OECD Europe Eurasia '!H$141/' KF Non-OECD Europe Eurasia '!H$141*-1</f>
        <v>-17.99705469334938</v>
      </c>
      <c r="L24" s="92">
        <f>AF24*' KF Non-OECD Europe Eurasia '!H$70/T24*' KF Non-OECD Europe Eurasia '!H$142/' KF Non-OECD Europe Eurasia '!H$142*-1</f>
        <v>-73.871631473864198</v>
      </c>
      <c r="M24" s="92"/>
      <c r="N24" s="23">
        <f t="shared" si="8"/>
        <v>-317.75264937653094</v>
      </c>
      <c r="O24" s="84" t="s">
        <v>94</v>
      </c>
      <c r="P24" s="85" t="s">
        <v>95</v>
      </c>
      <c r="Q24" s="86" t="s">
        <v>85</v>
      </c>
      <c r="R24" s="86"/>
      <c r="S24" s="24">
        <f t="shared" si="1"/>
        <v>271.67600399999998</v>
      </c>
      <c r="T24" s="37">
        <f>(' KF Non-OECD Europe Eurasia '!H64+' KF Non-OECD Europe Eurasia '!H65+' KF Non-OECD Europe Eurasia '!H66+' KF Non-OECD Europe Eurasia '!H68)*' KF Non-OECD Europe Eurasia '!H139+(' KF Non-OECD Europe Eurasia '!H67+' KF Non-OECD Europe Eurasia '!H70)*' KF Non-OECD Europe Eurasia '!H142+' KF Non-OECD Europe Eurasia '!H69*' KF Non-OECD Europe Eurasia '!H141</f>
        <v>0.85499209694415179</v>
      </c>
      <c r="U24" s="61"/>
      <c r="V24" s="92"/>
      <c r="W24" s="92"/>
      <c r="X24" s="92"/>
      <c r="Y24" s="92"/>
      <c r="Z24" s="92"/>
      <c r="AA24" s="92"/>
      <c r="AB24" s="92"/>
      <c r="AC24" s="92"/>
      <c r="AD24" s="92"/>
      <c r="AE24" s="92"/>
      <c r="AF24" s="92">
        <f>((' KF Non-OECD Europe Eurasia '!G64+' KF Non-OECD Europe Eurasia '!G65+' KF Non-OECD Europe Eurasia '!G66+' KF Non-OECD Europe Eurasia '!G68)*' KF Non-OECD Europe Eurasia '!G139+(' KF Non-OECD Europe Eurasia '!G67+' KF Non-OECD Europe Eurasia '!G70)*' KF Non-OECD Europe Eurasia '!G142+' KF Non-OECD Europe Eurasia '!G69*' KF Non-OECD Europe Eurasia '!G141)*' KF Non-OECD Europe Eurasia '!H5*' KF Non-OECD Europe Eurasia '!H13*-1</f>
        <v>271.67600399999998</v>
      </c>
      <c r="AG24" s="92">
        <f t="shared" si="9"/>
        <v>46.076645376530962</v>
      </c>
      <c r="AH24" s="87">
        <f>-(C24*Emissionsfaktorer!$B$2+D24*Emissionsfaktorer!$B$3+E24*Emissionsfaktorer!$B$4+F24*Emissionsfaktorer!$B$5+G24*Emissionsfaktorer!$B$6+H24*Emissionsfaktorer!$B$7+I24*Emissionsfaktorer!$B$8+J24*Emissionsfaktorer!$B$9+K24*Emissionsfaktorer!$B$10+L24*Emissionsfaktorer!$B$11+M24*Emissionsfaktorer!$B$12)</f>
        <v>16.563610213831858</v>
      </c>
    </row>
    <row r="25" spans="3:34" x14ac:dyDescent="0.35"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23">
        <f>N16</f>
        <v>-28234.415216000001</v>
      </c>
      <c r="O25" s="10" t="s">
        <v>11</v>
      </c>
      <c r="P25" s="71" t="s">
        <v>96</v>
      </c>
      <c r="Q25" s="71"/>
      <c r="R25" s="71"/>
      <c r="S25" s="24">
        <f t="shared" si="1"/>
        <v>21109.771815347143</v>
      </c>
      <c r="T25" s="37">
        <f>AF25/N25*-1</f>
        <v>0.74766102481147068</v>
      </c>
      <c r="U25" s="61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>
        <f>AF16</f>
        <v>21109.771815347143</v>
      </c>
      <c r="AG25" s="14">
        <f>-(S25+N25)</f>
        <v>7124.643400652858</v>
      </c>
      <c r="AH25" s="14"/>
    </row>
    <row r="28" spans="3:34" x14ac:dyDescent="0.35">
      <c r="X28" s="95"/>
    </row>
    <row r="29" spans="3:34" x14ac:dyDescent="0.35">
      <c r="X29" s="95"/>
    </row>
    <row r="30" spans="3:34" x14ac:dyDescent="0.35">
      <c r="X30" s="95"/>
    </row>
    <row r="31" spans="3:34" x14ac:dyDescent="0.35">
      <c r="E31" s="40"/>
    </row>
  </sheetData>
  <pageMargins left="0.7" right="0.7" top="0.75" bottom="0.75" header="0.3" footer="0.3"/>
  <pageSetup paperSize="9" orientation="portrait" horizontalDpi="4294967293" verticalDpi="4294967293"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 codeName="Ark35">
    <tabColor theme="9" tint="-0.499984740745262"/>
  </sheetPr>
  <dimension ref="A1:K142"/>
  <sheetViews>
    <sheetView zoomScale="86" zoomScaleNormal="86" workbookViewId="0">
      <pane ySplit="1" topLeftCell="A89" activePane="bottomLeft" state="frozen"/>
      <selection pane="bottomLeft" activeCell="H99" sqref="H99:I99"/>
    </sheetView>
  </sheetViews>
  <sheetFormatPr defaultRowHeight="14.5" x14ac:dyDescent="0.35"/>
  <cols>
    <col min="1" max="1" width="70" customWidth="1"/>
    <col min="2" max="2" width="9.7265625" customWidth="1"/>
    <col min="10" max="10" width="16.54296875" customWidth="1"/>
    <col min="11" max="11" width="13.7265625" customWidth="1"/>
  </cols>
  <sheetData>
    <row r="1" spans="1:11" ht="17.25" customHeight="1" x14ac:dyDescent="0.35">
      <c r="A1" t="s">
        <v>128</v>
      </c>
      <c r="B1" s="76">
        <f>(('Non-OECD Americas 1995'!$B12+'Non-OECD Americas 1995'!$B13+'Non-OECD Americas 1995'!$B14+'Non-OECD Americas 1995'!$B20-'Non-OECD Americas 1995'!$B22+'Non-OECD Americas 1995'!$B30)*Emissionsfaktorer!$B2*-1+('Non-OECD Americas 1995'!$D22-'Non-OECD Americas 1995'!$D30-'Non-OECD Americas 1995'!$D12-'Non-OECD Americas 1995'!$D13-'Non-OECD Americas 1995'!$D14-'Non-OECD Americas 1995'!$D20)*Emissionsfaktorer!$B4+('Non-OECD Americas 1995'!$E12+'Non-OECD Americas 1995'!$E13+'Non-OECD Americas 1995'!$E14+'Non-OECD Americas 1995'!$E20-'Non-OECD Americas 1995'!$E22+'Non-OECD Americas 1995'!$E30)*Emissionsfaktorer!$B5*-1)*0.041872</f>
        <v>655.80500046399993</v>
      </c>
      <c r="C1" s="76">
        <f>(('Non-OECD Americas 2000'!$B12+'Non-OECD Americas 2000'!$B13+'Non-OECD Americas 2000'!$B14+'Non-OECD Americas 2000'!$B20-'Non-OECD Americas 2000'!$B22+'Non-OECD Americas 2000'!$B30)*Emissionsfaktorer!$B2*-1+('Non-OECD Americas 2000'!$D22-'Non-OECD Americas 2000'!$D30-'Non-OECD Americas 2000'!$D12-'Non-OECD Americas 2000'!$D13-'Non-OECD Americas 2000'!$D14-'Non-OECD Americas 2000'!$D20)*Emissionsfaktorer!$B4+('Non-OECD Americas 2000'!$E12+'Non-OECD Americas 2000'!$E13+'Non-OECD Americas 2000'!$E14+'Non-OECD Americas 2000'!$E20-'Non-OECD Americas 2000'!$E22+'Non-OECD Americas 2000'!$E30)*Emissionsfaktorer!$B5*-1)*0.041872</f>
        <v>785.11025863999998</v>
      </c>
      <c r="D1" s="76">
        <f>(('Non-OECD Americas 2005'!$B12+'Non-OECD Americas 2005'!$B13+'Non-OECD Americas 2005'!$B14+'Non-OECD Americas 2005'!$B20-'Non-OECD Americas 2005'!$B22+'Non-OECD Americas 2005'!$B30)*Emissionsfaktorer!$B2*-1+('Non-OECD Americas 2005'!$D22-'Non-OECD Americas 2005'!$D30-'Non-OECD Americas 2005'!$D12-'Non-OECD Americas 2005'!$D13-'Non-OECD Americas 2005'!$D14-'Non-OECD Americas 2005'!$D20)*Emissionsfaktorer!$B4+('Non-OECD Americas 2005'!$E12+'Non-OECD Americas 2005'!$E13+'Non-OECD Americas 2005'!$E14+'Non-OECD Americas 2005'!$E20-'Non-OECD Americas 2005'!$E22+'Non-OECD Americas 2005'!$E30)*Emissionsfaktorer!$B5*-1)*0.041872</f>
        <v>857.685153872</v>
      </c>
      <c r="E1" s="76">
        <f>(('Non-OECD Americas 2010'!$B12+'Non-OECD Americas 2010'!$B13+'Non-OECD Americas 2010'!$B14+'Non-OECD Americas 2010'!$B20-'Non-OECD Americas 2010'!$B22+'Non-OECD Americas 2010'!$B30)*Emissionsfaktorer!$B2*-1+('Non-OECD Americas 2010'!$D22-'Non-OECD Americas 2010'!$D30-'Non-OECD Americas 2010'!$D12-'Non-OECD Americas 2010'!$D13-'Non-OECD Americas 2010'!$D14-'Non-OECD Americas 2010'!$D20)*Emissionsfaktorer!$B4+('Non-OECD Americas 2010'!$E12+'Non-OECD Americas 2010'!$E13+'Non-OECD Americas 2010'!$E14+'Non-OECD Americas 2010'!$E20-'Non-OECD Americas 2010'!$E22+'Non-OECD Americas 2010'!$E30)*Emissionsfaktorer!$B5*-1)*0.041872</f>
        <v>1000.8476154719999</v>
      </c>
      <c r="F1" s="76">
        <f>(('Non-OECD Americas 2015'!$B12+'Non-OECD Americas 2015'!$B13+'Non-OECD Americas 2015'!$B14+'Non-OECD Americas 2015'!$B20-'Non-OECD Americas 2015'!$B22+'Non-OECD Americas 2015'!$B30)*Emissionsfaktorer!$B2*-1+('Non-OECD Americas 2015'!$D22-'Non-OECD Americas 2015'!$D30-'Non-OECD Americas 2015'!$D12-'Non-OECD Americas 2015'!$D13-'Non-OECD Americas 2015'!$D14-'Non-OECD Americas 2015'!$D20)*Emissionsfaktorer!$B4+('Non-OECD Americas 2015'!$E12+'Non-OECD Americas 2015'!$E13+'Non-OECD Americas 2015'!$E14+'Non-OECD Americas 2015'!$E20-'Non-OECD Americas 2015'!$E22+'Non-OECD Americas 2015'!$E30)*Emissionsfaktorer!$B5*-1)*0.041872</f>
        <v>1136.9573667519999</v>
      </c>
      <c r="G1" s="76">
        <f>(('Non-OECD Americas 2018'!$B12+'Non-OECD Americas 2018'!$B13+'Non-OECD Americas 2018'!$B14+'Non-OECD Americas 2018'!$B20-'Non-OECD Americas 2018'!$B22+'Non-OECD Americas 2018'!$B30)*Emissionsfaktorer!$B2*-1+('Non-OECD Americas 2018'!$D22-'Non-OECD Americas 2018'!$D30-'Non-OECD Americas 2018'!$D12-'Non-OECD Americas 2018'!$D13-'Non-OECD Americas 2018'!$D14-'Non-OECD Americas 2018'!$D20)*Emissionsfaktorer!$B4+('Non-OECD Americas 2018'!$E12+'Non-OECD Americas 2018'!$E13+'Non-OECD Americas 2018'!$E14+'Non-OECD Americas 2018'!$E20-'Non-OECD Americas 2018'!$E22+'Non-OECD Americas 2018'!$E30)*Emissionsfaktorer!$B5*-1)*0.041872</f>
        <v>1049.995419808</v>
      </c>
      <c r="H1" s="83">
        <f>'BL Non-OECD Americas 2030'!AH8+'BL Non-OECD Americas 2030'!AH16</f>
        <v>1042.2951506171628</v>
      </c>
      <c r="I1" s="83">
        <f>'BL Non-OECD Americas 2050'!AH8+'BL Non-OECD Americas 2050'!AH16</f>
        <v>1042.2951506171628</v>
      </c>
    </row>
    <row r="2" spans="1:11" ht="17.25" customHeight="1" x14ac:dyDescent="0.35">
      <c r="B2" s="76">
        <f>' KF Middle East'!B1+' KF Africa'!B1+' KF China'!B1+' KF Asia excluding China'!B1+' KF Non-OECD Americas'!B1+' KF Non-OECD Europe Eurasia '!B1+' KF OECD Europe'!B1+' KF OECD Asia Oceania'!B1+' KF OECD Americas'!B1</f>
        <v>20512.548212767997</v>
      </c>
      <c r="C2" s="76">
        <f>' KF Middle East'!C1+' KF Africa'!C1+' KF China'!C1+' KF Asia excluding China'!C1+' KF Non-OECD Americas'!C1+' KF Non-OECD Europe Eurasia '!C1+' KF OECD Europe'!C1+' KF OECD Asia Oceania'!C1+' KF OECD Americas'!C1</f>
        <v>22293.933162016001</v>
      </c>
      <c r="D2" s="76">
        <f>' KF Middle East'!D1+' KF Africa'!D1+' KF China'!D1+' KF Asia excluding China'!D1+' KF Non-OECD Americas'!D1+' KF Non-OECD Europe Eurasia '!D1+' KF OECD Europe'!D1+' KF OECD Asia Oceania'!D1+' KF OECD Americas'!D1</f>
        <v>25992.162037168</v>
      </c>
      <c r="E2" s="76">
        <f>' KF Middle East'!E1+' KF Africa'!E1+' KF China'!E1+' KF Asia excluding China'!E1+' KF Non-OECD Americas'!E1+' KF Non-OECD Europe Eurasia '!E1+' KF OECD Europe'!E1+' KF OECD Asia Oceania'!E1+' KF OECD Americas'!E1</f>
        <v>29123.978319039998</v>
      </c>
      <c r="F2" s="76">
        <f>' KF Middle East'!F1+' KF Africa'!F1+' KF China'!F1+' KF Asia excluding China'!F1+' KF Non-OECD Americas'!F1+' KF Non-OECD Europe Eurasia '!F1+' KF OECD Europe'!F1+' KF OECD Asia Oceania'!F1+' KF OECD Americas'!F1</f>
        <v>30670.019138096002</v>
      </c>
      <c r="G2" s="76">
        <f>' KF Middle East'!G1+' KF Africa'!G1+' KF China'!G1+' KF Asia excluding China'!G1+' KF Non-OECD Americas'!G1+' KF Non-OECD Europe Eurasia '!G1+' KF OECD Europe'!G1+' KF OECD Asia Oceania'!G1+' KF OECD Americas'!G1</f>
        <v>31652.588578768002</v>
      </c>
      <c r="H2" s="101">
        <f>' KF Middle East'!H1+' KF Africa'!H1+' KF China'!H1+' KF Asia excluding China'!H1+' KF Non-OECD Americas'!H1+' KF Non-OECD Europe Eurasia '!H1+' KF OECD Europe'!H1+' KF OECD Asia Oceania'!H1+' KF OECD Americas'!H1</f>
        <v>31634.759971648018</v>
      </c>
      <c r="I2" s="101">
        <f>' KF Middle East'!I1+' KF Africa'!I1+' KF China'!I1+' KF Asia excluding China'!I1+' KF Non-OECD Americas'!I1+' KF Non-OECD Europe Eurasia '!I1+' KF OECD Europe'!I1+' KF OECD Asia Oceania'!I1+' KF OECD Americas'!I1</f>
        <v>31634.759971648018</v>
      </c>
      <c r="J2" t="s">
        <v>129</v>
      </c>
    </row>
    <row r="3" spans="1:11" ht="15.75" customHeight="1" x14ac:dyDescent="0.35">
      <c r="B3" s="117" t="s">
        <v>130</v>
      </c>
      <c r="C3" s="117"/>
      <c r="D3" s="117"/>
      <c r="E3" s="117"/>
      <c r="F3" s="117"/>
      <c r="G3" s="117"/>
      <c r="H3" s="117"/>
      <c r="I3" s="117"/>
    </row>
    <row r="4" spans="1:11" ht="15.75" customHeight="1" x14ac:dyDescent="0.35">
      <c r="B4" s="41">
        <v>1995</v>
      </c>
      <c r="C4" s="114">
        <v>2000</v>
      </c>
      <c r="D4" s="114">
        <v>2005</v>
      </c>
      <c r="E4" s="114">
        <v>2010</v>
      </c>
      <c r="F4" s="114">
        <v>2015</v>
      </c>
      <c r="G4" s="114">
        <v>2018</v>
      </c>
      <c r="H4" s="35">
        <v>2030</v>
      </c>
      <c r="I4" s="35">
        <v>2050</v>
      </c>
    </row>
    <row r="5" spans="1:11" x14ac:dyDescent="0.35">
      <c r="A5" s="30" t="s">
        <v>131</v>
      </c>
      <c r="B5" s="7">
        <f>('Non-OECD Americas 1995'!$L22-'Non-OECD Americas 1995'!$L30)*0.041872*-1</f>
        <v>-11096.833696</v>
      </c>
      <c r="C5" s="7">
        <f>('Non-OECD Americas 2000'!$L22-'Non-OECD Americas 2000'!$L30)*0.041872*-1</f>
        <v>-12503.942256</v>
      </c>
      <c r="D5" s="7">
        <f>('Non-OECD Americas 2005'!$L22-'Non-OECD Americas 2005'!$L30)*0.041872*-1</f>
        <v>-14013.218496</v>
      </c>
      <c r="E5" s="7">
        <f>('Non-OECD Americas 2010'!$L22-'Non-OECD Americas 2010'!$L30)*0.041872*-1</f>
        <v>-16415.415136</v>
      </c>
      <c r="F5" s="7">
        <f>('Non-OECD Americas 2015'!$L22-'Non-OECD Americas 2015'!$L30)*0.041872*-1</f>
        <v>-17875.868623999999</v>
      </c>
      <c r="G5" s="7">
        <f>('Non-OECD Americas 2018'!$L22-'Non-OECD Americas 2018'!$L30)*0.041872*-1</f>
        <v>-17698.205728000001</v>
      </c>
      <c r="H5" s="79">
        <f>G5</f>
        <v>-17698.205728000001</v>
      </c>
      <c r="I5" s="79">
        <f>H5</f>
        <v>-17698.205728000001</v>
      </c>
      <c r="K5" s="34"/>
    </row>
    <row r="6" spans="1:11" x14ac:dyDescent="0.35">
      <c r="A6" s="31" t="s">
        <v>132</v>
      </c>
      <c r="B6" s="80"/>
      <c r="C6" s="80"/>
      <c r="D6" s="80"/>
      <c r="E6" s="80"/>
      <c r="F6" s="80"/>
      <c r="G6" s="80"/>
      <c r="H6" s="33"/>
      <c r="I6" s="33"/>
    </row>
    <row r="7" spans="1:11" x14ac:dyDescent="0.35">
      <c r="A7" s="30" t="s">
        <v>133</v>
      </c>
      <c r="B7" s="40">
        <f>('Non-OECD Americas 1995'!$L23/B$5*0.041872*-1)</f>
        <v>0.3551230482457795</v>
      </c>
      <c r="C7" s="40">
        <f>('Non-OECD Americas 2000'!$L23/C$5*0.041872*-1)</f>
        <v>0.36338460198979988</v>
      </c>
      <c r="D7" s="40">
        <f>('Non-OECD Americas 2005'!$L23/D$5*0.041872*-1)</f>
        <v>0.37303237835705838</v>
      </c>
      <c r="E7" s="40">
        <f>('Non-OECD Americas 2010'!$L23/E$5*0.041872*-1)</f>
        <v>0.35544258464740663</v>
      </c>
      <c r="F7" s="40">
        <f>('Non-OECD Americas 2015'!$L23/F$5*0.041872*-1)</f>
        <v>0.31717172190378928</v>
      </c>
      <c r="G7" s="40">
        <f>('Non-OECD Americas 2018'!$L23/G$5*0.041872*-1)</f>
        <v>0.30987238391762917</v>
      </c>
      <c r="H7" s="77">
        <f t="shared" ref="H7:I68" si="0">G7</f>
        <v>0.30987238391762917</v>
      </c>
      <c r="I7" s="77">
        <f>H7</f>
        <v>0.30987238391762917</v>
      </c>
    </row>
    <row r="8" spans="1:11" x14ac:dyDescent="0.35">
      <c r="A8" s="30" t="s">
        <v>134</v>
      </c>
      <c r="B8" s="40">
        <f>'Non-OECD Americas 1995'!$L24/B$5*0.041872*-1</f>
        <v>0.33278871623814232</v>
      </c>
      <c r="C8" s="40">
        <f>'Non-OECD Americas 2000'!$L24/C$5*0.041872*-1</f>
        <v>0.33019559779387386</v>
      </c>
      <c r="D8" s="40">
        <f>'Non-OECD Americas 2005'!$L24/D$5*0.041872*-1</f>
        <v>0.32543296640252428</v>
      </c>
      <c r="E8" s="40">
        <f>'Non-OECD Americas 2010'!$L24/E$5*0.041872*-1</f>
        <v>0.35401415168937705</v>
      </c>
      <c r="F8" s="40">
        <f>'Non-OECD Americas 2015'!$L24/F$5*0.041872*-1</f>
        <v>0.38176273139743794</v>
      </c>
      <c r="G8" s="40">
        <f>'Non-OECD Americas 2018'!$L24/G$5*0.041872*-1</f>
        <v>0.38440027065776455</v>
      </c>
      <c r="H8" s="77">
        <f t="shared" si="0"/>
        <v>0.38440027065776455</v>
      </c>
      <c r="I8" s="77">
        <f t="shared" si="0"/>
        <v>0.38440027065776455</v>
      </c>
    </row>
    <row r="9" spans="1:11" x14ac:dyDescent="0.35">
      <c r="A9" s="30" t="s">
        <v>135</v>
      </c>
      <c r="B9" s="40">
        <f>'Non-OECD Americas 1995'!$L25/B$5*0.041872*-1</f>
        <v>0.20524643609113347</v>
      </c>
      <c r="C9" s="40">
        <f>'Non-OECD Americas 2000'!$L25/C$5*0.041872*-1</f>
        <v>0.19993771410775457</v>
      </c>
      <c r="D9" s="40">
        <f>'Non-OECD Americas 2005'!$L25/D$5*0.041872*-1</f>
        <v>0.19146736467185388</v>
      </c>
      <c r="E9" s="40">
        <f>'Non-OECD Americas 2010'!$L25/E$5*0.041872*-1</f>
        <v>0.18117886531407668</v>
      </c>
      <c r="F9" s="40">
        <f>'Non-OECD Americas 2015'!$L25/F$5*0.041872*-1</f>
        <v>0.18077752818463544</v>
      </c>
      <c r="G9" s="40">
        <f>'Non-OECD Americas 2018'!$L25/G$5*0.041872*-1</f>
        <v>0.18464584999313893</v>
      </c>
      <c r="H9" s="89">
        <f>1-H7-H8-H10-H11-H12-H13</f>
        <v>0.18464821588268981</v>
      </c>
      <c r="I9" s="89">
        <f>1-I7-I8-I10-I11-I12-I13</f>
        <v>0.18464821588268981</v>
      </c>
    </row>
    <row r="10" spans="1:11" x14ac:dyDescent="0.35">
      <c r="A10" s="30" t="s">
        <v>136</v>
      </c>
      <c r="B10" s="40">
        <f>'Non-OECD Americas 1995'!$L26/B$5*0.041872*-1</f>
        <v>4.8709898950259976E-2</v>
      </c>
      <c r="C10" s="40">
        <f>'Non-OECD Americas 2000'!$L26/C$5*0.041872*-1</f>
        <v>5.6723695093813933E-2</v>
      </c>
      <c r="D10" s="40">
        <f>'Non-OECD Americas 2005'!$L26/D$5*0.041872*-1</f>
        <v>5.6650172708475263E-2</v>
      </c>
      <c r="E10" s="40">
        <f>'Non-OECD Americas 2010'!$L26/E$5*0.041872*-1</f>
        <v>5.9042745856269035E-2</v>
      </c>
      <c r="F10" s="40">
        <f>'Non-OECD Americas 2015'!$L26/F$5*0.041872*-1</f>
        <v>6.5565437778303509E-2</v>
      </c>
      <c r="G10" s="40">
        <f>'Non-OECD Americas 2018'!$L26/G$5*0.041872*-1</f>
        <v>6.6893161159664413E-2</v>
      </c>
      <c r="H10" s="88">
        <f t="shared" si="0"/>
        <v>6.6893161159664413E-2</v>
      </c>
      <c r="I10" s="88">
        <f t="shared" si="0"/>
        <v>6.6893161159664413E-2</v>
      </c>
    </row>
    <row r="11" spans="1:11" x14ac:dyDescent="0.35">
      <c r="A11" s="30" t="s">
        <v>137</v>
      </c>
      <c r="B11" s="40">
        <f>'Non-OECD Americas 1995'!$L27/B$5*0.041872*-1</f>
        <v>4.6570421631738225E-2</v>
      </c>
      <c r="C11" s="40">
        <f>'Non-OECD Americas 2000'!$L27/C$5*0.041872*-1</f>
        <v>4.3087772877507757E-2</v>
      </c>
      <c r="D11" s="40">
        <f>'Non-OECD Americas 2005'!$L27/D$5*0.041872*-1</f>
        <v>4.5618344150023304E-2</v>
      </c>
      <c r="E11" s="40">
        <f>'Non-OECD Americas 2010'!$L27/E$5*0.041872*-1</f>
        <v>4.297542585157562E-2</v>
      </c>
      <c r="F11" s="40">
        <f>'Non-OECD Americas 2015'!$L27/F$5*0.041872*-1</f>
        <v>4.1211757788984747E-2</v>
      </c>
      <c r="G11" s="40">
        <f>'Non-OECD Americas 2018'!$L27/G$5*0.041872*-1</f>
        <v>4.235178884908937E-2</v>
      </c>
      <c r="H11" s="88">
        <f t="shared" si="0"/>
        <v>4.235178884908937E-2</v>
      </c>
      <c r="I11" s="88">
        <f t="shared" si="0"/>
        <v>4.235178884908937E-2</v>
      </c>
    </row>
    <row r="12" spans="1:11" x14ac:dyDescent="0.35">
      <c r="A12" s="30" t="s">
        <v>138</v>
      </c>
      <c r="B12" s="40">
        <f>'Non-OECD Americas 1995'!$L28/B$5*0.041872*-1</f>
        <v>1.109358609603876E-3</v>
      </c>
      <c r="C12" s="40">
        <f>'Non-OECD Americas 2000'!$L28/C$5*0.041872*-1</f>
        <v>8.6731430599786344E-4</v>
      </c>
      <c r="D12" s="40">
        <f>'Non-OECD Americas 2005'!$L28/D$5*0.041872*-1</f>
        <v>8.3366201728279975E-4</v>
      </c>
      <c r="E12" s="40">
        <f>'Non-OECD Americas 2010'!$L28/E$5*0.041872*-1</f>
        <v>3.5965901264673324E-4</v>
      </c>
      <c r="F12" s="40">
        <f>'Non-OECD Americas 2015'!$L28/F$5*0.041872*-1</f>
        <v>4.8487176664316486E-4</v>
      </c>
      <c r="G12" s="40">
        <f>'Non-OECD Americas 2018'!$L28/G$5*0.041872*-1</f>
        <v>2.0583239092066222E-4</v>
      </c>
      <c r="H12" s="88">
        <f t="shared" si="0"/>
        <v>2.0583239092066222E-4</v>
      </c>
      <c r="I12" s="88">
        <f t="shared" si="0"/>
        <v>2.0583239092066222E-4</v>
      </c>
    </row>
    <row r="13" spans="1:11" x14ac:dyDescent="0.35">
      <c r="A13" s="30" t="s">
        <v>139</v>
      </c>
      <c r="B13" s="40">
        <f>'Non-OECD Americas 1995'!$L29/B$5*0.041872*-1</f>
        <v>1.0452120233342641E-2</v>
      </c>
      <c r="C13" s="40">
        <f>'Non-OECD Americas 2000'!$L29/C$5*0.041872*-1</f>
        <v>5.8033038312521133E-3</v>
      </c>
      <c r="D13" s="40">
        <f>'Non-OECD Americas 2005'!$L29/D$5*0.041872*-1</f>
        <v>6.97108776459058E-3</v>
      </c>
      <c r="E13" s="40">
        <f>'Non-OECD Americas 2010'!$L29/E$5*0.041872*-1</f>
        <v>6.9891184017875814E-3</v>
      </c>
      <c r="F13" s="40">
        <f>'Non-OECD Americas 2015'!$L29/F$5*0.041872*-1</f>
        <v>1.3023608804521724E-2</v>
      </c>
      <c r="G13" s="40">
        <f>'Non-OECD Americas 2018'!$L29/G$5*0.041872*-1</f>
        <v>1.1628347142242011E-2</v>
      </c>
      <c r="H13" s="88">
        <f t="shared" si="0"/>
        <v>1.1628347142242011E-2</v>
      </c>
      <c r="I13" s="88">
        <f t="shared" si="0"/>
        <v>1.1628347142242011E-2</v>
      </c>
    </row>
    <row r="14" spans="1:11" x14ac:dyDescent="0.35">
      <c r="A14" s="31" t="s">
        <v>140</v>
      </c>
      <c r="B14" s="81"/>
      <c r="C14" s="81"/>
      <c r="D14" s="81"/>
      <c r="E14" s="81"/>
      <c r="F14" s="81"/>
      <c r="G14" s="81"/>
      <c r="H14" s="42"/>
      <c r="I14" s="42"/>
    </row>
    <row r="15" spans="1:11" x14ac:dyDescent="0.35">
      <c r="A15" s="30" t="s">
        <v>141</v>
      </c>
      <c r="B15" s="40">
        <f>'Non-OECD Americas 1995'!$B23/'Non-OECD Americas 1995'!$L23</f>
        <v>7.1859659561808023E-2</v>
      </c>
      <c r="C15" s="40">
        <f>'Non-OECD Americas 2000'!$B23/'Non-OECD Americas 2000'!$L23</f>
        <v>8.2836474220153902E-2</v>
      </c>
      <c r="D15" s="40">
        <f>'Non-OECD Americas 2005'!$B23/'Non-OECD Americas 2005'!$L23</f>
        <v>6.8150141779208917E-2</v>
      </c>
      <c r="E15" s="40">
        <f>'Non-OECD Americas 2010'!$B23/'Non-OECD Americas 2010'!$L23</f>
        <v>7.5107465535677126E-2</v>
      </c>
      <c r="F15" s="40">
        <f>'Non-OECD Americas 2015'!$B23/'Non-OECD Americas 2015'!$L23</f>
        <v>8.7012392360752103E-2</v>
      </c>
      <c r="G15" s="40">
        <f>'Non-OECD Americas 2018'!$B23/'Non-OECD Americas 2018'!$L23</f>
        <v>9.0582172170261502E-2</v>
      </c>
      <c r="H15" s="77">
        <f t="shared" si="0"/>
        <v>9.0582172170261502E-2</v>
      </c>
      <c r="I15" s="77">
        <f t="shared" si="0"/>
        <v>9.0582172170261502E-2</v>
      </c>
    </row>
    <row r="16" spans="1:11" x14ac:dyDescent="0.35">
      <c r="A16" s="30" t="s">
        <v>142</v>
      </c>
      <c r="B16" s="40">
        <f>'Non-OECD Americas 1995'!$C23/'Non-OECD Americas 1995'!$L23</f>
        <v>1.1443568438276984E-2</v>
      </c>
      <c r="C16" s="40">
        <f>'Non-OECD Americas 2000'!$C23/'Non-OECD Americas 2000'!$L23</f>
        <v>1.2320877298069391E-2</v>
      </c>
      <c r="D16" s="40">
        <f>'Non-OECD Americas 2005'!$C23/'Non-OECD Americas 2005'!$L23</f>
        <v>4.429599013152625E-3</v>
      </c>
      <c r="E16" s="40">
        <f>'Non-OECD Americas 2010'!$C23/'Non-OECD Americas 2010'!$L23</f>
        <v>7.9011388835066414E-3</v>
      </c>
      <c r="F16" s="40">
        <f>'Non-OECD Americas 2015'!$C23/'Non-OECD Americas 2015'!$L23</f>
        <v>4.9406968671993857E-3</v>
      </c>
      <c r="G16" s="40">
        <f>'Non-OECD Americas 2018'!$C23/'Non-OECD Americas 2018'!$L23</f>
        <v>8.9330024813895782E-3</v>
      </c>
      <c r="H16" s="77">
        <f t="shared" si="0"/>
        <v>8.9330024813895782E-3</v>
      </c>
      <c r="I16" s="77">
        <f t="shared" si="0"/>
        <v>8.9330024813895782E-3</v>
      </c>
    </row>
    <row r="17" spans="1:9" x14ac:dyDescent="0.35">
      <c r="A17" s="30" t="s">
        <v>143</v>
      </c>
      <c r="B17" s="40">
        <f>'Non-OECD Americas 1995'!$D23/'Non-OECD Americas 1995'!$L23</f>
        <v>0.23777546379922221</v>
      </c>
      <c r="C17" s="40">
        <f>'Non-OECD Americas 2000'!$D23/'Non-OECD Americas 2000'!$L23</f>
        <v>0.23968115007141869</v>
      </c>
      <c r="D17" s="40">
        <f>'Non-OECD Americas 2005'!$D23/'Non-OECD Americas 2005'!$L23</f>
        <v>0.1923951875170215</v>
      </c>
      <c r="E17" s="40">
        <f>'Non-OECD Americas 2010'!$D23/'Non-OECD Americas 2010'!$L23</f>
        <v>0.19359584346989889</v>
      </c>
      <c r="F17" s="40">
        <f>'Non-OECD Americas 2015'!$D23/'Non-OECD Americas 2015'!$L23</f>
        <v>0.16720086259102254</v>
      </c>
      <c r="G17" s="40">
        <f>'Non-OECD Americas 2018'!$D23/'Non-OECD Americas 2018'!$L23</f>
        <v>0.15741171979385379</v>
      </c>
      <c r="H17" s="77">
        <f t="shared" si="0"/>
        <v>0.15741171979385379</v>
      </c>
      <c r="I17" s="77">
        <f t="shared" si="0"/>
        <v>0.15741171979385379</v>
      </c>
    </row>
    <row r="18" spans="1:9" x14ac:dyDescent="0.35">
      <c r="A18" s="30" t="s">
        <v>241</v>
      </c>
      <c r="B18" s="40">
        <f>'Non-OECD Americas 1995'!$E23/'Non-OECD Americas 1995'!$L23</f>
        <v>0.18414901077416751</v>
      </c>
      <c r="C18" s="40">
        <f>'Non-OECD Americas 2000'!$E23/'Non-OECD Americas 2000'!$L23</f>
        <v>0.1790996636409713</v>
      </c>
      <c r="D18" s="40">
        <f>'Non-OECD Americas 2005'!$E23/'Non-OECD Americas 2005'!$L23</f>
        <v>0.22168020377757486</v>
      </c>
      <c r="E18" s="40">
        <f>'Non-OECD Americas 2010'!$E23/'Non-OECD Americas 2010'!$L23</f>
        <v>0.1945718242947462</v>
      </c>
      <c r="F18" s="40">
        <f>'Non-OECD Americas 2015'!$E23/'Non-OECD Americas 2015'!$L23</f>
        <v>0.1945556326898365</v>
      </c>
      <c r="G18" s="40">
        <f>'Non-OECD Americas 2018'!$E23/'Non-OECD Americas 2018'!$L23</f>
        <v>0.18951708341286505</v>
      </c>
      <c r="H18" s="77">
        <f t="shared" si="0"/>
        <v>0.18951708341286505</v>
      </c>
      <c r="I18" s="77">
        <f t="shared" si="0"/>
        <v>0.18951708341286505</v>
      </c>
    </row>
    <row r="19" spans="1:9" x14ac:dyDescent="0.35">
      <c r="A19" s="30" t="s">
        <v>145</v>
      </c>
      <c r="B19" s="40">
        <f>'Non-OECD Americas 1995'!$H23/'Non-OECD Americas 1995'!$L23</f>
        <v>0</v>
      </c>
      <c r="C19" s="40">
        <f>'Non-OECD Americas 2000'!$H23/'Non-OECD Americas 2000'!$L23</f>
        <v>0</v>
      </c>
      <c r="D19" s="40">
        <f>'Non-OECD Americas 2005'!$H23/'Non-OECD Americas 2005'!$L23</f>
        <v>0</v>
      </c>
      <c r="E19" s="40">
        <f>'Non-OECD Americas 2010'!$H23/'Non-OECD Americas 2010'!$L23</f>
        <v>0</v>
      </c>
      <c r="F19" s="40">
        <f>'Non-OECD Americas 2015'!$H23/'Non-OECD Americas 2015'!$L23</f>
        <v>0</v>
      </c>
      <c r="G19" s="40">
        <f>'Non-OECD Americas 2018'!$H23/'Non-OECD Americas 2018'!$L23</f>
        <v>0</v>
      </c>
      <c r="H19" s="77">
        <f t="shared" si="0"/>
        <v>0</v>
      </c>
      <c r="I19" s="77">
        <f t="shared" si="0"/>
        <v>0</v>
      </c>
    </row>
    <row r="20" spans="1:9" x14ac:dyDescent="0.35">
      <c r="A20" s="30" t="s">
        <v>146</v>
      </c>
      <c r="B20" s="40">
        <f>'Non-OECD Americas 1995'!$I23/'Non-OECD Americas 1995'!$L23</f>
        <v>0.28403850649212659</v>
      </c>
      <c r="C20" s="40">
        <f>'Non-OECD Americas 2000'!$I23/'Non-OECD Americas 2000'!$L23</f>
        <v>0.26933603649265081</v>
      </c>
      <c r="D20" s="40">
        <f>'Non-OECD Americas 2005'!$I23/'Non-OECD Americas 2005'!$L23</f>
        <v>0.28680251838323639</v>
      </c>
      <c r="E20" s="40">
        <f>'Non-OECD Americas 2010'!$I23/'Non-OECD Americas 2010'!$L23</f>
        <v>0.29698522393736498</v>
      </c>
      <c r="F20" s="40">
        <f>'Non-OECD Americas 2015'!$I23/'Non-OECD Americas 2015'!$L23</f>
        <v>0.30612380544436729</v>
      </c>
      <c r="G20" s="40">
        <f>'Non-OECD Americas 2018'!$I23/'Non-OECD Americas 2018'!$L23</f>
        <v>0.3098224852071006</v>
      </c>
      <c r="H20" s="77">
        <f t="shared" si="0"/>
        <v>0.3098224852071006</v>
      </c>
      <c r="I20" s="77">
        <f t="shared" si="0"/>
        <v>0.3098224852071006</v>
      </c>
    </row>
    <row r="21" spans="1:9" x14ac:dyDescent="0.35">
      <c r="A21" s="30" t="s">
        <v>147</v>
      </c>
      <c r="B21" s="40">
        <f>'Non-OECD Americas 1995'!$J23/'Non-OECD Americas 1995'!$L23</f>
        <v>0.2107337909343987</v>
      </c>
      <c r="C21" s="40">
        <f>'Non-OECD Americas 2000'!$J23/'Non-OECD Americas 2000'!$L23</f>
        <v>0.2167350135925909</v>
      </c>
      <c r="D21" s="40">
        <f>'Non-OECD Americas 2005'!$J23/'Non-OECD Americas 2005'!$L23</f>
        <v>0.22654234952980568</v>
      </c>
      <c r="E21" s="40">
        <f>'Non-OECD Americas 2010'!$J23/'Non-OECD Americas 2010'!$L23</f>
        <v>0.23183132754921168</v>
      </c>
      <c r="F21" s="40">
        <f>'Non-OECD Americas 2015'!$J23/'Non-OECD Americas 2015'!$L23</f>
        <v>0.24016661004682216</v>
      </c>
      <c r="G21" s="40">
        <f>'Non-OECD Americas 2018'!$J23/'Non-OECD Americas 2018'!$L23</f>
        <v>0.24374117197938538</v>
      </c>
      <c r="H21" s="89">
        <f>1-H15-H16-H17-H18-H19-H20-H22</f>
        <v>0.24373353693452943</v>
      </c>
      <c r="I21" s="89">
        <f>1-I15-I16-I17-I18-I19-I20-I22</f>
        <v>0.24373353693452943</v>
      </c>
    </row>
    <row r="22" spans="1:9" x14ac:dyDescent="0.35">
      <c r="A22" s="30" t="s">
        <v>148</v>
      </c>
      <c r="B22" s="40">
        <f>'Non-OECD Americas 1995'!$K23/'Non-OECD Americas 1995'!$L23</f>
        <v>0</v>
      </c>
      <c r="C22" s="40">
        <f>'Non-OECD Americas 2000'!$K23/'Non-OECD Americas 2000'!$L23</f>
        <v>0</v>
      </c>
      <c r="D22" s="40">
        <f>'Non-OECD Americas 2005'!$K23/'Non-OECD Americas 2005'!$L23</f>
        <v>0</v>
      </c>
      <c r="E22" s="40">
        <f>'Non-OECD Americas 2010'!$K23/'Non-OECD Americas 2010'!$L23</f>
        <v>0</v>
      </c>
      <c r="F22" s="40">
        <f>'Non-OECD Americas 2015'!$K23/'Non-OECD Americas 2015'!$L23</f>
        <v>0</v>
      </c>
      <c r="G22" s="40">
        <f>'Non-OECD Americas 2018'!$K23/'Non-OECD Americas 2018'!$L23</f>
        <v>0</v>
      </c>
      <c r="H22" s="77">
        <f t="shared" si="0"/>
        <v>0</v>
      </c>
      <c r="I22" s="77">
        <f t="shared" si="0"/>
        <v>0</v>
      </c>
    </row>
    <row r="23" spans="1:9" x14ac:dyDescent="0.35">
      <c r="A23" s="31" t="s">
        <v>149</v>
      </c>
      <c r="B23" s="81"/>
      <c r="C23" s="81"/>
      <c r="D23" s="81"/>
      <c r="E23" s="81"/>
      <c r="F23" s="81"/>
      <c r="G23" s="81"/>
      <c r="H23" s="42"/>
      <c r="I23" s="42"/>
    </row>
    <row r="24" spans="1:9" x14ac:dyDescent="0.35">
      <c r="A24" s="30" t="s">
        <v>141</v>
      </c>
      <c r="B24" s="40">
        <f>'Non-OECD Americas 1995'!$B24/'Non-OECD Americas 1995'!$L24</f>
        <v>1.1338511253472419E-5</v>
      </c>
      <c r="C24" s="40">
        <f>'Non-OECD Americas 2000'!$B24/'Non-OECD Americas 2000'!$L24</f>
        <v>1.0141576406636648E-5</v>
      </c>
      <c r="D24" s="40">
        <f>'Non-OECD Americas 2005'!$B24/'Non-OECD Americas 2005'!$L24</f>
        <v>9.1817246951667393E-6</v>
      </c>
      <c r="E24" s="40">
        <f>'Non-OECD Americas 2010'!$B24/'Non-OECD Americas 2010'!$L24</f>
        <v>7.2052857976611646E-6</v>
      </c>
      <c r="F24" s="40">
        <f>'Non-OECD Americas 2015'!$B24/'Non-OECD Americas 2015'!$L24</f>
        <v>0</v>
      </c>
      <c r="G24" s="40">
        <f>'Non-OECD Americas 2018'!$B24/'Non-OECD Americas 2018'!$L24</f>
        <v>0</v>
      </c>
      <c r="H24" s="77">
        <f t="shared" si="0"/>
        <v>0</v>
      </c>
      <c r="I24" s="77">
        <f t="shared" si="0"/>
        <v>0</v>
      </c>
    </row>
    <row r="25" spans="1:9" x14ac:dyDescent="0.35">
      <c r="A25" s="30" t="s">
        <v>143</v>
      </c>
      <c r="B25" s="40">
        <f>'Non-OECD Americas 1995'!$D24/'Non-OECD Americas 1995'!$L24</f>
        <v>0.9020466012812518</v>
      </c>
      <c r="C25" s="40">
        <f>'Non-OECD Americas 2000'!$D24/'Non-OECD Americas 2000'!$L24</f>
        <v>0.91150460427568858</v>
      </c>
      <c r="D25" s="40">
        <f>'Non-OECD Americas 2005'!$D24/'Non-OECD Americas 2005'!$L24</f>
        <v>0.87981122374026732</v>
      </c>
      <c r="E25" s="40">
        <f>'Non-OECD Americas 2010'!$D24/'Non-OECD Americas 2010'!$L24</f>
        <v>0.83852233998861569</v>
      </c>
      <c r="F25" s="40">
        <f>'Non-OECD Americas 2015'!$D24/'Non-OECD Americas 2015'!$L24</f>
        <v>0.82627422828427854</v>
      </c>
      <c r="G25" s="40">
        <f>'Non-OECD Americas 2018'!$D24/'Non-OECD Americas 2018'!$L24</f>
        <v>0.81471725054777322</v>
      </c>
      <c r="H25" s="89">
        <f>1-H24-H26-H27-H28-H29-H30</f>
        <v>0.81475417907875636</v>
      </c>
      <c r="I25" s="89">
        <f>1-I24-I26-I27-I28-I29-I30</f>
        <v>0.81475417907875636</v>
      </c>
    </row>
    <row r="26" spans="1:9" x14ac:dyDescent="0.35">
      <c r="A26" s="30" t="s">
        <v>241</v>
      </c>
      <c r="B26" s="40">
        <f>'Non-OECD Americas 1995'!$E24/'Non-OECD Americas 1995'!$L24</f>
        <v>1.8186972050569759E-2</v>
      </c>
      <c r="C26" s="40">
        <f>'Non-OECD Americas 2000'!$E24/'Non-OECD Americas 2000'!$L24</f>
        <v>2.744310575635877E-2</v>
      </c>
      <c r="D26" s="40">
        <f>'Non-OECD Americas 2005'!$E24/'Non-OECD Americas 2005'!$L24</f>
        <v>5.3832451887762596E-2</v>
      </c>
      <c r="E26" s="40">
        <f>'Non-OECD Americas 2010'!$E24/'Non-OECD Americas 2010'!$L24</f>
        <v>4.8931095851916968E-2</v>
      </c>
      <c r="F26" s="40">
        <f>'Non-OECD Americas 2015'!$E24/'Non-OECD Americas 2015'!$L24</f>
        <v>4.6483945981433419E-2</v>
      </c>
      <c r="G26" s="40">
        <f>'Non-OECD Americas 2018'!$E24/'Non-OECD Americas 2018'!$L24</f>
        <v>4.7120805534355846E-2</v>
      </c>
      <c r="H26" s="90">
        <f t="shared" si="0"/>
        <v>4.7120805534355846E-2</v>
      </c>
      <c r="I26" s="90">
        <f t="shared" si="0"/>
        <v>4.7120805534355846E-2</v>
      </c>
    </row>
    <row r="27" spans="1:9" x14ac:dyDescent="0.35">
      <c r="A27" s="30" t="s">
        <v>145</v>
      </c>
      <c r="B27" s="40">
        <f>'Non-OECD Americas 1995'!$H24/'Non-OECD Americas 1995'!$L24</f>
        <v>0</v>
      </c>
      <c r="C27" s="40">
        <f>'Non-OECD Americas 2000'!$H24/'Non-OECD Americas 2000'!$L24</f>
        <v>0</v>
      </c>
      <c r="D27" s="40">
        <f>'Non-OECD Americas 2005'!$H24/'Non-OECD Americas 2005'!$L24</f>
        <v>0</v>
      </c>
      <c r="E27" s="40">
        <f>'Non-OECD Americas 2010'!$H24/'Non-OECD Americas 2010'!$L24</f>
        <v>0</v>
      </c>
      <c r="F27" s="40">
        <f>'Non-OECD Americas 2015'!$H24/'Non-OECD Americas 2015'!$L24</f>
        <v>0</v>
      </c>
      <c r="G27" s="40">
        <f>'Non-OECD Americas 2018'!$H24/'Non-OECD Americas 2018'!$L24</f>
        <v>0</v>
      </c>
      <c r="H27" s="77">
        <f t="shared" si="0"/>
        <v>0</v>
      </c>
      <c r="I27" s="77">
        <f t="shared" si="0"/>
        <v>0</v>
      </c>
    </row>
    <row r="28" spans="1:9" x14ac:dyDescent="0.35">
      <c r="A28" s="30" t="s">
        <v>146</v>
      </c>
      <c r="B28" s="40">
        <f>'Non-OECD Americas 1995'!$I24/'Non-OECD Americas 1995'!$L24</f>
        <v>7.8042972957650655E-2</v>
      </c>
      <c r="C28" s="40">
        <f>'Non-OECD Americas 2000'!$I24/'Non-OECD Americas 2000'!$L24</f>
        <v>5.9115248874285022E-2</v>
      </c>
      <c r="D28" s="40">
        <f>'Non-OECD Americas 2005'!$I24/'Non-OECD Americas 2005'!$L24</f>
        <v>6.4207800793301018E-2</v>
      </c>
      <c r="E28" s="40">
        <f>'Non-OECD Americas 2010'!$I24/'Non-OECD Americas 2010'!$L24</f>
        <v>0.10898715297542277</v>
      </c>
      <c r="F28" s="40">
        <f>'Non-OECD Americas 2015'!$I24/'Non-OECD Americas 2015'!$L24</f>
        <v>0.12518023573299955</v>
      </c>
      <c r="G28" s="40">
        <f>'Non-OECD Americas 2018'!$I24/'Non-OECD Americas 2018'!$L24</f>
        <v>0.13605701765183781</v>
      </c>
      <c r="H28" s="77">
        <f t="shared" si="0"/>
        <v>0.13605701765183781</v>
      </c>
      <c r="I28" s="77">
        <f t="shared" si="0"/>
        <v>0.13605701765183781</v>
      </c>
    </row>
    <row r="29" spans="1:9" x14ac:dyDescent="0.35">
      <c r="A29" s="30" t="s">
        <v>147</v>
      </c>
      <c r="B29" s="40">
        <f>'Non-OECD Americas 1995'!$J24/'Non-OECD Americas 1995'!$L24</f>
        <v>1.7234537105278076E-3</v>
      </c>
      <c r="C29" s="40">
        <f>'Non-OECD Americas 2000'!$J24/'Non-OECD Americas 2000'!$L24</f>
        <v>1.9268995172609629E-3</v>
      </c>
      <c r="D29" s="40">
        <f>'Non-OECD Americas 2005'!$J24/'Non-OECD Americas 2005'!$L24</f>
        <v>2.1393418539738503E-3</v>
      </c>
      <c r="E29" s="40">
        <f>'Non-OECD Americas 2010'!$J24/'Non-OECD Americas 2010'!$L24</f>
        <v>3.5161794692586484E-3</v>
      </c>
      <c r="F29" s="40">
        <f>'Non-OECD Americas 2015'!$J24/'Non-OECD Americas 2015'!$L24</f>
        <v>2.0309115786502721E-3</v>
      </c>
      <c r="G29" s="40">
        <f>'Non-OECD Americas 2018'!$J24/'Non-OECD Americas 2018'!$L24</f>
        <v>2.0679977350500996E-3</v>
      </c>
      <c r="H29" s="77">
        <f>G29</f>
        <v>2.0679977350500996E-3</v>
      </c>
      <c r="I29" s="77">
        <f t="shared" si="0"/>
        <v>2.0679977350500996E-3</v>
      </c>
    </row>
    <row r="30" spans="1:9" x14ac:dyDescent="0.35">
      <c r="A30" s="30" t="s">
        <v>148</v>
      </c>
      <c r="B30" s="40">
        <f>'Non-OECD Americas 1995'!$K24/'Non-OECD Americas 1995'!$L24</f>
        <v>0</v>
      </c>
      <c r="C30" s="40">
        <f>'Non-OECD Americas 2000'!$K24/'Non-OECD Americas 2000'!$L24</f>
        <v>0</v>
      </c>
      <c r="D30" s="40">
        <f>'Non-OECD Americas 2005'!$K24/'Non-OECD Americas 2005'!$L24</f>
        <v>0</v>
      </c>
      <c r="E30" s="40">
        <f>'Non-OECD Americas 2010'!$K24/'Non-OECD Americas 2010'!$L24</f>
        <v>0</v>
      </c>
      <c r="F30" s="40">
        <f>'Non-OECD Americas 2015'!$K24/'Non-OECD Americas 2015'!$L24</f>
        <v>0</v>
      </c>
      <c r="G30" s="40">
        <f>'Non-OECD Americas 2018'!$K24/'Non-OECD Americas 2018'!$L24</f>
        <v>0</v>
      </c>
      <c r="H30" s="77">
        <f t="shared" si="0"/>
        <v>0</v>
      </c>
      <c r="I30" s="77">
        <f t="shared" si="0"/>
        <v>0</v>
      </c>
    </row>
    <row r="31" spans="1:9" x14ac:dyDescent="0.35">
      <c r="A31" s="31" t="s">
        <v>150</v>
      </c>
      <c r="B31" s="81"/>
      <c r="C31" s="81"/>
      <c r="D31" s="81"/>
      <c r="E31" s="81"/>
      <c r="F31" s="81"/>
      <c r="G31" s="81"/>
      <c r="H31" s="42"/>
      <c r="I31" s="42"/>
    </row>
    <row r="32" spans="1:9" x14ac:dyDescent="0.35">
      <c r="A32" s="30" t="s">
        <v>141</v>
      </c>
      <c r="B32" s="40">
        <f>'Non-OECD Americas 1995'!$B$25/'Non-OECD Americas 1995'!$L$25</f>
        <v>2.7392727139022685E-3</v>
      </c>
      <c r="C32" s="40">
        <f>'Non-OECD Americas 2000'!$B$25/'Non-OECD Americas 2000'!$L$25</f>
        <v>1.3231501021672863E-3</v>
      </c>
      <c r="D32" s="40">
        <f>'Non-OECD Americas 2005'!$B$25/'Non-OECD Americas 2005'!$L$25</f>
        <v>1.0456006741783451E-3</v>
      </c>
      <c r="E32" s="40">
        <f>'Non-OECD Americas 2010'!$B$25/'Non-OECD Americas 2010'!$L$25</f>
        <v>7.7433161103211364E-4</v>
      </c>
      <c r="F32" s="40">
        <f>'Non-OECD Americas 2015'!$B$25/'Non-OECD Americas 2015'!$L$25</f>
        <v>8.5517706052321289E-4</v>
      </c>
      <c r="G32" s="40">
        <f>'Non-OECD Americas 2018'!$B$25/'Non-OECD Americas 2018'!$L$25</f>
        <v>7.9441347940290854E-4</v>
      </c>
      <c r="H32" s="77">
        <f t="shared" si="0"/>
        <v>7.9441347940290854E-4</v>
      </c>
      <c r="I32" s="77">
        <f t="shared" si="0"/>
        <v>7.9441347940290854E-4</v>
      </c>
    </row>
    <row r="33" spans="1:9" x14ac:dyDescent="0.35">
      <c r="A33" s="30" t="s">
        <v>143</v>
      </c>
      <c r="B33" s="40">
        <f>'Non-OECD Americas 1995'!$D$25/'Non-OECD Americas 1995'!$L$25</f>
        <v>0.23482369378975623</v>
      </c>
      <c r="C33" s="40">
        <f>'Non-OECD Americas 2000'!$D$25/'Non-OECD Americas 2000'!$L$25</f>
        <v>0.22935718353264328</v>
      </c>
      <c r="D33" s="40">
        <f>'Non-OECD Americas 2005'!$D$25/'Non-OECD Americas 2005'!$L$25</f>
        <v>0.19672898654764506</v>
      </c>
      <c r="E33" s="40">
        <f>'Non-OECD Americas 2010'!$D$25/'Non-OECD Americas 2010'!$L$25</f>
        <v>0.18792324261921187</v>
      </c>
      <c r="F33" s="40">
        <f>'Non-OECD Americas 2015'!$D$25/'Non-OECD Americas 2015'!$L$25</f>
        <v>0.17599803050131516</v>
      </c>
      <c r="G33" s="40">
        <f>'Non-OECD Americas 2018'!$D$25/'Non-OECD Americas 2018'!$L$25</f>
        <v>0.17428406688448972</v>
      </c>
      <c r="H33" s="77">
        <f t="shared" si="0"/>
        <v>0.17428406688448972</v>
      </c>
      <c r="I33" s="77">
        <f t="shared" si="0"/>
        <v>0.17428406688448972</v>
      </c>
    </row>
    <row r="34" spans="1:9" x14ac:dyDescent="0.35">
      <c r="A34" s="30" t="s">
        <v>241</v>
      </c>
      <c r="B34" s="40">
        <f>'Non-OECD Americas 1995'!$E$25/'Non-OECD Americas 1995'!$L$25</f>
        <v>0.10262161267786889</v>
      </c>
      <c r="C34" s="40">
        <f>'Non-OECD Americas 2000'!$E$25/'Non-OECD Americas 2000'!$L$25</f>
        <v>0.12817807255552205</v>
      </c>
      <c r="D34" s="40">
        <f>'Non-OECD Americas 2005'!$E$25/'Non-OECD Americas 2005'!$L$25</f>
        <v>0.13564717999937576</v>
      </c>
      <c r="E34" s="40">
        <f>'Non-OECD Americas 2010'!$E$25/'Non-OECD Americas 2010'!$L$25</f>
        <v>0.14736234495769335</v>
      </c>
      <c r="F34" s="40">
        <f>'Non-OECD Americas 2015'!$E$25/'Non-OECD Americas 2015'!$L$25</f>
        <v>0.15373751247133213</v>
      </c>
      <c r="G34" s="40">
        <f>'Non-OECD Americas 2018'!$E$25/'Non-OECD Americas 2018'!$L$25</f>
        <v>0.14599269652123775</v>
      </c>
      <c r="H34" s="77">
        <f t="shared" si="0"/>
        <v>0.14599269652123775</v>
      </c>
      <c r="I34" s="77">
        <f t="shared" si="0"/>
        <v>0.14599269652123775</v>
      </c>
    </row>
    <row r="35" spans="1:9" x14ac:dyDescent="0.35">
      <c r="A35" s="30" t="s">
        <v>145</v>
      </c>
      <c r="B35" s="40">
        <f>'Non-OECD Americas 1995'!$H$25/'Non-OECD Americas 1995'!$L$25</f>
        <v>0</v>
      </c>
      <c r="C35" s="40">
        <f>'Non-OECD Americas 2000'!$H$25/'Non-OECD Americas 2000'!$L$25</f>
        <v>9.379291863464308E-4</v>
      </c>
      <c r="D35" s="40">
        <f>'Non-OECD Americas 2005'!$H$25/'Non-OECD Americas 2005'!$L$25</f>
        <v>9.3635881269702554E-4</v>
      </c>
      <c r="E35" s="40">
        <f>'Non-OECD Americas 2010'!$H$25/'Non-OECD Americas 2010'!$L$25</f>
        <v>1.1263005251376199E-4</v>
      </c>
      <c r="F35" s="40">
        <f>'Non-OECD Americas 2015'!$H$25/'Non-OECD Americas 2015'!$L$25</f>
        <v>2.850590201744043E-4</v>
      </c>
      <c r="G35" s="40">
        <f>'Non-OECD Americas 2018'!$H$25/'Non-OECD Americas 2018'!$L$25</f>
        <v>3.5876737779486193E-4</v>
      </c>
      <c r="H35" s="77">
        <f t="shared" si="0"/>
        <v>3.5876737779486193E-4</v>
      </c>
      <c r="I35" s="77">
        <f t="shared" si="0"/>
        <v>3.5876737779486193E-4</v>
      </c>
    </row>
    <row r="36" spans="1:9" x14ac:dyDescent="0.35">
      <c r="A36" s="30" t="s">
        <v>146</v>
      </c>
      <c r="B36" s="40">
        <f>'Non-OECD Americas 1995'!$I$25/'Non-OECD Americas 1995'!$L$25</f>
        <v>0.44247527300805234</v>
      </c>
      <c r="C36" s="40">
        <f>'Non-OECD Americas 2000'!$I$25/'Non-OECD Americas 2000'!$L$25</f>
        <v>0.38845342176665659</v>
      </c>
      <c r="D36" s="40">
        <f>'Non-OECD Americas 2005'!$I$25/'Non-OECD Americas 2005'!$L$25</f>
        <v>0.404507007085115</v>
      </c>
      <c r="E36" s="40">
        <f>'Non-OECD Americas 2010'!$I$25/'Non-OECD Americas 2010'!$L$25</f>
        <v>0.36534373284151545</v>
      </c>
      <c r="F36" s="40">
        <f>'Non-OECD Americas 2015'!$I$25/'Non-OECD Americas 2015'!$L$25</f>
        <v>0.3381966129805512</v>
      </c>
      <c r="G36" s="40">
        <f>'Non-OECD Americas 2018'!$I$25/'Non-OECD Americas 2018'!$L$25</f>
        <v>0.34919597668012042</v>
      </c>
      <c r="H36" s="77">
        <f t="shared" si="0"/>
        <v>0.34919597668012042</v>
      </c>
      <c r="I36" s="77">
        <f t="shared" si="0"/>
        <v>0.34919597668012042</v>
      </c>
    </row>
    <row r="37" spans="1:9" x14ac:dyDescent="0.35">
      <c r="A37" s="30" t="s">
        <v>147</v>
      </c>
      <c r="B37" s="40">
        <f>'Non-OECD Americas 1995'!$J$25/'Non-OECD Americas 1995'!$L$25</f>
        <v>0.21734014781042027</v>
      </c>
      <c r="C37" s="40">
        <f>'Non-OECD Americas 2000'!$J$25/'Non-OECD Americas 2000'!$L$25</f>
        <v>0.25175024285666431</v>
      </c>
      <c r="D37" s="40">
        <f>'Non-OECD Americas 2005'!$J$25/'Non-OECD Americas 2005'!$L$25</f>
        <v>0.2611348668809888</v>
      </c>
      <c r="E37" s="40">
        <f>'Non-OECD Americas 2010'!$J$25/'Non-OECD Americas 2010'!$L$25</f>
        <v>0.29848371791803346</v>
      </c>
      <c r="F37" s="40">
        <f>'Non-OECD Americas 2015'!$J$25/'Non-OECD Americas 2015'!$L$25</f>
        <v>0.33092760796610388</v>
      </c>
      <c r="G37" s="40">
        <f>'Non-OECD Americas 2018'!$J$25/'Non-OECD Americas 2018'!$L$25</f>
        <v>0.32936126593631881</v>
      </c>
      <c r="H37" s="89">
        <f>1-H38-H36-H35-H34-H33-H32</f>
        <v>0.32937407905695426</v>
      </c>
      <c r="I37" s="89">
        <f>1-I38-I36-I35-I34-I33-I32</f>
        <v>0.32937407905695426</v>
      </c>
    </row>
    <row r="38" spans="1:9" x14ac:dyDescent="0.35">
      <c r="A38" s="30" t="s">
        <v>148</v>
      </c>
      <c r="B38" s="40">
        <f>'Non-OECD Americas 1995'!$K$25/'Non-OECD Americas 1995'!$L$25</f>
        <v>0</v>
      </c>
      <c r="C38" s="40">
        <f>'Non-OECD Americas 2000'!$K$25/'Non-OECD Americas 2000'!$L$25</f>
        <v>0</v>
      </c>
      <c r="D38" s="40">
        <f>'Non-OECD Americas 2005'!$K$25/'Non-OECD Americas 2005'!$L$25</f>
        <v>0</v>
      </c>
      <c r="E38" s="40">
        <f>'Non-OECD Americas 2010'!$K$25/'Non-OECD Americas 2010'!$L$25</f>
        <v>0</v>
      </c>
      <c r="F38" s="40">
        <f>'Non-OECD Americas 2015'!$K$25/'Non-OECD Americas 2015'!$L$25</f>
        <v>0</v>
      </c>
      <c r="G38" s="40">
        <f>'Non-OECD Americas 2018'!$K$25/'Non-OECD Americas 2018'!$L$25</f>
        <v>0</v>
      </c>
      <c r="H38" s="88">
        <f t="shared" si="0"/>
        <v>0</v>
      </c>
      <c r="I38" s="88">
        <f t="shared" si="0"/>
        <v>0</v>
      </c>
    </row>
    <row r="39" spans="1:9" x14ac:dyDescent="0.35">
      <c r="A39" s="31" t="s">
        <v>151</v>
      </c>
      <c r="B39" s="81"/>
      <c r="C39" s="81"/>
      <c r="D39" s="81"/>
      <c r="E39" s="81"/>
      <c r="F39" s="81"/>
      <c r="G39" s="81"/>
      <c r="H39" s="42"/>
      <c r="I39" s="42"/>
    </row>
    <row r="40" spans="1:9" x14ac:dyDescent="0.35">
      <c r="A40" s="30" t="s">
        <v>141</v>
      </c>
      <c r="B40" s="40">
        <f>'Non-OECD Americas 1995'!$B$26/'Non-OECD Americas 1995'!$L$26</f>
        <v>2.3239600278875203E-4</v>
      </c>
      <c r="C40" s="40">
        <f>'Non-OECD Americas 2000'!$B$26/'Non-OECD Americas 2000'!$L$26</f>
        <v>1.7710608654584095E-4</v>
      </c>
      <c r="D40" s="40">
        <f>'Non-OECD Americas 2005'!$B$26/'Non-OECD Americas 2005'!$L$26</f>
        <v>0</v>
      </c>
      <c r="E40" s="40">
        <f>'Non-OECD Americas 2010'!$B$26/'Non-OECD Americas 2010'!$L$26</f>
        <v>0</v>
      </c>
      <c r="F40" s="40">
        <f>'Non-OECD Americas 2015'!$B$26/'Non-OECD Americas 2015'!$L$26</f>
        <v>3.5725768997177664E-5</v>
      </c>
      <c r="G40" s="40">
        <f>'Non-OECD Americas 2018'!$B$26/'Non-OECD Americas 2018'!$L$26</f>
        <v>0</v>
      </c>
      <c r="H40" s="77">
        <f t="shared" si="0"/>
        <v>0</v>
      </c>
      <c r="I40" s="77">
        <f t="shared" si="0"/>
        <v>0</v>
      </c>
    </row>
    <row r="41" spans="1:9" x14ac:dyDescent="0.35">
      <c r="A41" s="30" t="s">
        <v>143</v>
      </c>
      <c r="B41" s="40">
        <f>'Non-OECD Americas 1995'!$D$26/'Non-OECD Americas 1995'!$L$26</f>
        <v>0.16693779533658687</v>
      </c>
      <c r="C41" s="40">
        <f>'Non-OECD Americas 2000'!$D$26/'Non-OECD Americas 2000'!$L$26</f>
        <v>0.15006789066650925</v>
      </c>
      <c r="D41" s="40">
        <f>'Non-OECD Americas 2005'!$D$26/'Non-OECD Americas 2005'!$L$26</f>
        <v>0.12268579566432829</v>
      </c>
      <c r="E41" s="40">
        <f>'Non-OECD Americas 2010'!$D$26/'Non-OECD Americas 2010'!$L$26</f>
        <v>0.1147448913466108</v>
      </c>
      <c r="F41" s="40">
        <f>'Non-OECD Americas 2015'!$D$26/'Non-OECD Americas 2015'!$L$26</f>
        <v>9.6423850523382509E-2</v>
      </c>
      <c r="G41" s="40">
        <f>'Non-OECD Americas 2018'!$D$26/'Non-OECD Americas 2018'!$L$26</f>
        <v>0.10249699370446347</v>
      </c>
      <c r="H41" s="77">
        <f t="shared" si="0"/>
        <v>0.10249699370446347</v>
      </c>
      <c r="I41" s="77">
        <f t="shared" si="0"/>
        <v>0.10249699370446347</v>
      </c>
    </row>
    <row r="42" spans="1:9" x14ac:dyDescent="0.35">
      <c r="A42" s="30" t="s">
        <v>241</v>
      </c>
      <c r="B42" s="40">
        <f>'Non-OECD Americas 1995'!$E$26/'Non-OECD Americas 1995'!$L$26</f>
        <v>0.11774730807963436</v>
      </c>
      <c r="C42" s="40">
        <f>'Non-OECD Americas 2000'!$E$26/'Non-OECD Americas 2000'!$L$26</f>
        <v>9.7408347600212525E-2</v>
      </c>
      <c r="D42" s="40">
        <f>'Non-OECD Americas 2005'!$E$26/'Non-OECD Americas 2005'!$L$26</f>
        <v>0.1055435413260193</v>
      </c>
      <c r="E42" s="40">
        <f>'Non-OECD Americas 2010'!$E$26/'Non-OECD Americas 2010'!$L$26</f>
        <v>9.8976109215017066E-2</v>
      </c>
      <c r="F42" s="40">
        <f>'Non-OECD Americas 2015'!$E$26/'Non-OECD Americas 2015'!$L$26</f>
        <v>8.4348540602336472E-2</v>
      </c>
      <c r="G42" s="40">
        <f>'Non-OECD Americas 2018'!$E$26/'Non-OECD Americas 2018'!$L$26</f>
        <v>8.5944684162127749E-2</v>
      </c>
      <c r="H42" s="77">
        <f t="shared" si="0"/>
        <v>8.5944684162127749E-2</v>
      </c>
      <c r="I42" s="77">
        <f t="shared" si="0"/>
        <v>8.5944684162127749E-2</v>
      </c>
    </row>
    <row r="43" spans="1:9" x14ac:dyDescent="0.35">
      <c r="A43" s="30" t="s">
        <v>145</v>
      </c>
      <c r="B43" s="40">
        <f>'Non-OECD Americas 1995'!$H$26/'Non-OECD Americas 1995'!$L$26</f>
        <v>1.5493066852583469E-4</v>
      </c>
      <c r="C43" s="40">
        <f>'Non-OECD Americas 2000'!$H$26/'Non-OECD Americas 2000'!$L$26</f>
        <v>1.1807072436389397E-4</v>
      </c>
      <c r="D43" s="40">
        <f>'Non-OECD Americas 2005'!$H$26/'Non-OECD Americas 2005'!$L$26</f>
        <v>1.5823619389208291E-4</v>
      </c>
      <c r="E43" s="40">
        <f>'Non-OECD Americas 2010'!$H$26/'Non-OECD Americas 2010'!$L$26</f>
        <v>2.1601071413142092E-4</v>
      </c>
      <c r="F43" s="40">
        <f>'Non-OECD Americas 2015'!$H$26/'Non-OECD Americas 2015'!$L$26</f>
        <v>4.6443499696330966E-4</v>
      </c>
      <c r="G43" s="40">
        <f>'Non-OECD Americas 2018'!$H$26/'Non-OECD Americas 2018'!$L$26</f>
        <v>5.6589092452429793E-4</v>
      </c>
      <c r="H43" s="77">
        <f t="shared" si="0"/>
        <v>5.6589092452429793E-4</v>
      </c>
      <c r="I43" s="77">
        <f t="shared" si="0"/>
        <v>5.6589092452429793E-4</v>
      </c>
    </row>
    <row r="44" spans="1:9" x14ac:dyDescent="0.35">
      <c r="A44" s="30" t="s">
        <v>146</v>
      </c>
      <c r="B44" s="40">
        <f>'Non-OECD Americas 1995'!$I$26/'Non-OECD Americas 1995'!$L$26</f>
        <v>3.5014331086838643E-2</v>
      </c>
      <c r="C44" s="40">
        <f>'Non-OECD Americas 2000'!$I$26/'Non-OECD Americas 2000'!$L$26</f>
        <v>3.0993565145522168E-2</v>
      </c>
      <c r="D44" s="40">
        <f>'Non-OECD Americas 2005'!$I$26/'Non-OECD Americas 2005'!$L$26</f>
        <v>4.5993987024632102E-2</v>
      </c>
      <c r="E44" s="40">
        <f>'Non-OECD Americas 2010'!$I$26/'Non-OECD Americas 2010'!$L$26</f>
        <v>3.3136043547759966E-2</v>
      </c>
      <c r="F44" s="40">
        <f>'Non-OECD Americas 2015'!$I$26/'Non-OECD Americas 2015'!$L$26</f>
        <v>3.6583187453109928E-2</v>
      </c>
      <c r="G44" s="40">
        <f>'Non-OECD Americas 2018'!$I$26/'Non-OECD Americas 2018'!$L$26</f>
        <v>3.522671005163755E-2</v>
      </c>
      <c r="H44" s="77">
        <f t="shared" si="0"/>
        <v>3.522671005163755E-2</v>
      </c>
      <c r="I44" s="77">
        <f t="shared" si="0"/>
        <v>3.522671005163755E-2</v>
      </c>
    </row>
    <row r="45" spans="1:9" x14ac:dyDescent="0.35">
      <c r="A45" s="30" t="s">
        <v>147</v>
      </c>
      <c r="B45" s="40">
        <f>'Non-OECD Americas 1995'!$J$26/'Non-OECD Americas 1995'!$L$26</f>
        <v>0.67960337748857391</v>
      </c>
      <c r="C45" s="40">
        <f>'Non-OECD Americas 2000'!$J$26/'Non-OECD Americas 2000'!$L$26</f>
        <v>0.72117598441466435</v>
      </c>
      <c r="D45" s="40">
        <f>'Non-OECD Americas 2005'!$J$26/'Non-OECD Americas 2005'!$L$26</f>
        <v>0.72561843979112828</v>
      </c>
      <c r="E45" s="40">
        <f>'Non-OECD Americas 2010'!$J$26/'Non-OECD Americas 2010'!$L$26</f>
        <v>0.7520629023199551</v>
      </c>
      <c r="F45" s="40">
        <f>'Non-OECD Americas 2015'!$J$26/'Non-OECD Americas 2015'!$L$26</f>
        <v>0.78214426065521059</v>
      </c>
      <c r="G45" s="40">
        <f>'Non-OECD Americas 2018'!$J$26/'Non-OECD Americas 2018'!$L$26</f>
        <v>0.77576572115724696</v>
      </c>
      <c r="H45" s="89">
        <f>1-H46-H44-H43-H42-H41-H40</f>
        <v>0.77576572115724685</v>
      </c>
      <c r="I45" s="89">
        <f>1-I46-I44-I43-I42-I41-I40</f>
        <v>0.77576572115724685</v>
      </c>
    </row>
    <row r="46" spans="1:9" x14ac:dyDescent="0.35">
      <c r="A46" s="30" t="s">
        <v>148</v>
      </c>
      <c r="B46" s="40">
        <f>'Non-OECD Americas 1995'!$K$26/'Non-OECD Americas 1995'!$L$26</f>
        <v>0</v>
      </c>
      <c r="C46" s="40">
        <f>'Non-OECD Americas 2000'!$K$26/'Non-OECD Americas 2000'!$L$26</f>
        <v>0</v>
      </c>
      <c r="D46" s="40">
        <f>'Non-OECD Americas 2005'!$K$26/'Non-OECD Americas 2005'!$L$26</f>
        <v>0</v>
      </c>
      <c r="E46" s="40">
        <f>'Non-OECD Americas 2010'!$K$26/'Non-OECD Americas 2010'!$L$26</f>
        <v>0</v>
      </c>
      <c r="F46" s="40">
        <f>'Non-OECD Americas 2015'!$K$26/'Non-OECD Americas 2015'!$L$26</f>
        <v>0</v>
      </c>
      <c r="G46" s="40">
        <f>'Non-OECD Americas 2018'!$K$26/'Non-OECD Americas 2018'!$L$26</f>
        <v>0</v>
      </c>
      <c r="H46" s="77">
        <f t="shared" si="0"/>
        <v>0</v>
      </c>
      <c r="I46" s="77">
        <f t="shared" si="0"/>
        <v>0</v>
      </c>
    </row>
    <row r="47" spans="1:9" x14ac:dyDescent="0.35">
      <c r="A47" s="31" t="s">
        <v>152</v>
      </c>
      <c r="B47" s="81"/>
      <c r="C47" s="81"/>
      <c r="D47" s="81"/>
      <c r="E47" s="81"/>
      <c r="F47" s="81"/>
      <c r="G47" s="81"/>
      <c r="H47" s="42"/>
      <c r="I47" s="42"/>
    </row>
    <row r="48" spans="1:9" x14ac:dyDescent="0.35">
      <c r="A48" s="30" t="s">
        <v>141</v>
      </c>
      <c r="B48" s="40">
        <f>'Non-OECD Americas 1995'!$B$27/'Non-OECD Americas 1995'!$L$27</f>
        <v>0</v>
      </c>
      <c r="C48" s="40">
        <f>'Non-OECD Americas 2000'!$B$27/'Non-OECD Americas 2000'!$L$27</f>
        <v>6.2174555063340328E-4</v>
      </c>
      <c r="D48" s="40">
        <f>'Non-OECD Americas 2005'!$B$27/'Non-OECD Americas 2005'!$L$27</f>
        <v>3.2750376629331237E-4</v>
      </c>
      <c r="E48" s="40">
        <f>'Non-OECD Americas 2010'!$B$27/'Non-OECD Americas 2010'!$L$27</f>
        <v>0</v>
      </c>
      <c r="F48" s="40">
        <f>'Non-OECD Americas 2015'!$B$27/'Non-OECD Americas 2015'!$L$27</f>
        <v>5.6837558258497215E-5</v>
      </c>
      <c r="G48" s="40">
        <f>'Non-OECD Americas 2018'!$B$27/'Non-OECD Americas 2018'!$L$27</f>
        <v>0</v>
      </c>
      <c r="H48" s="77">
        <f t="shared" si="0"/>
        <v>0</v>
      </c>
      <c r="I48" s="77">
        <f t="shared" si="0"/>
        <v>0</v>
      </c>
    </row>
    <row r="49" spans="1:9" x14ac:dyDescent="0.35">
      <c r="A49" s="30" t="s">
        <v>143</v>
      </c>
      <c r="B49" s="40">
        <f>'Non-OECD Americas 1995'!$D$27/'Non-OECD Americas 1995'!$L$27</f>
        <v>0.67015070491006323</v>
      </c>
      <c r="C49" s="40">
        <f>'Non-OECD Americas 2000'!$D$27/'Non-OECD Americas 2000'!$L$27</f>
        <v>0.68508587860418124</v>
      </c>
      <c r="D49" s="40">
        <f>'Non-OECD Americas 2005'!$D$27/'Non-OECD Americas 2005'!$L$27</f>
        <v>0.67184122617410102</v>
      </c>
      <c r="E49" s="40">
        <f>'Non-OECD Americas 2010'!$D$27/'Non-OECD Americas 2010'!$L$27</f>
        <v>0.67610398860398857</v>
      </c>
      <c r="F49" s="40">
        <f>'Non-OECD Americas 2015'!$D$27/'Non-OECD Americas 2015'!$L$27</f>
        <v>0.61782425826986476</v>
      </c>
      <c r="G49" s="40">
        <f>'Non-OECD Americas 2018'!$D$27/'Non-OECD Americas 2018'!$L$27</f>
        <v>0.60639070442992016</v>
      </c>
      <c r="H49" s="77">
        <f t="shared" si="0"/>
        <v>0.60639070442992016</v>
      </c>
      <c r="I49" s="77">
        <f t="shared" si="0"/>
        <v>0.60639070442992016</v>
      </c>
    </row>
    <row r="50" spans="1:9" x14ac:dyDescent="0.35">
      <c r="A50" s="30" t="s">
        <v>241</v>
      </c>
      <c r="B50" s="40">
        <f>'Non-OECD Americas 1995'!$E$27/'Non-OECD Americas 1995'!$L$27</f>
        <v>0</v>
      </c>
      <c r="C50" s="40">
        <f>'Non-OECD Americas 2000'!$E$27/'Non-OECD Americas 2000'!$L$27</f>
        <v>0</v>
      </c>
      <c r="D50" s="40">
        <f>'Non-OECD Americas 2005'!$E$27/'Non-OECD Americas 2005'!$L$27</f>
        <v>2.6200301303464988E-4</v>
      </c>
      <c r="E50" s="40">
        <f>'Non-OECD Americas 2010'!$E$27/'Non-OECD Americas 2010'!$L$27</f>
        <v>1.1870845204178538E-4</v>
      </c>
      <c r="F50" s="40">
        <f>'Non-OECD Americas 2015'!$E$27/'Non-OECD Americas 2015'!$L$27</f>
        <v>0</v>
      </c>
      <c r="G50" s="40">
        <f>'Non-OECD Americas 2018'!$E$27/'Non-OECD Americas 2018'!$L$27</f>
        <v>1.1172560192168035E-4</v>
      </c>
      <c r="H50" s="77">
        <f t="shared" si="0"/>
        <v>1.1172560192168035E-4</v>
      </c>
      <c r="I50" s="77">
        <f t="shared" si="0"/>
        <v>1.1172560192168035E-4</v>
      </c>
    </row>
    <row r="51" spans="1:9" x14ac:dyDescent="0.35">
      <c r="A51" s="30" t="s">
        <v>145</v>
      </c>
      <c r="B51" s="40">
        <f>'Non-OECD Americas 1995'!$H$27/'Non-OECD Americas 1995'!$L$27</f>
        <v>0</v>
      </c>
      <c r="C51" s="40">
        <f>'Non-OECD Americas 2000'!$H$27/'Non-OECD Americas 2000'!$L$27</f>
        <v>0</v>
      </c>
      <c r="D51" s="40">
        <f>'Non-OECD Americas 2005'!$H$27/'Non-OECD Americas 2005'!$L$27</f>
        <v>0</v>
      </c>
      <c r="E51" s="40">
        <f>'Non-OECD Americas 2010'!$H$27/'Non-OECD Americas 2010'!$L$27</f>
        <v>0</v>
      </c>
      <c r="F51" s="40">
        <f>'Non-OECD Americas 2015'!$H$27/'Non-OECD Americas 2015'!$L$27</f>
        <v>0</v>
      </c>
      <c r="G51" s="40">
        <f>'Non-OECD Americas 2018'!$H$27/'Non-OECD Americas 2018'!$L$27</f>
        <v>0</v>
      </c>
      <c r="H51" s="77">
        <f t="shared" si="0"/>
        <v>0</v>
      </c>
      <c r="I51" s="77">
        <f t="shared" si="0"/>
        <v>0</v>
      </c>
    </row>
    <row r="52" spans="1:9" x14ac:dyDescent="0.35">
      <c r="A52" s="30" t="s">
        <v>146</v>
      </c>
      <c r="B52" s="40">
        <f>'Non-OECD Americas 1995'!$I$27/'Non-OECD Americas 1995'!$L$27</f>
        <v>0.24509803921568626</v>
      </c>
      <c r="C52" s="40">
        <f>'Non-OECD Americas 2000'!$I$27/'Non-OECD Americas 2000'!$L$27</f>
        <v>0.19258568430869666</v>
      </c>
      <c r="D52" s="40">
        <f>'Non-OECD Americas 2005'!$I$27/'Non-OECD Americas 2005'!$L$27</f>
        <v>0.20848889762232264</v>
      </c>
      <c r="E52" s="40">
        <f>'Non-OECD Americas 2010'!$I$27/'Non-OECD Americas 2010'!$L$27</f>
        <v>0.2044753086419753</v>
      </c>
      <c r="F52" s="40">
        <f>'Non-OECD Americas 2015'!$I$27/'Non-OECD Americas 2015'!$L$27</f>
        <v>0.22166647720813915</v>
      </c>
      <c r="G52" s="40">
        <f>'Non-OECD Americas 2018'!$I$27/'Non-OECD Americas 2018'!$L$27</f>
        <v>0.21641249092229484</v>
      </c>
      <c r="H52" s="77">
        <f t="shared" si="0"/>
        <v>0.21641249092229484</v>
      </c>
      <c r="I52" s="77">
        <f t="shared" si="0"/>
        <v>0.21641249092229484</v>
      </c>
    </row>
    <row r="53" spans="1:9" x14ac:dyDescent="0.35">
      <c r="A53" s="30" t="s">
        <v>147</v>
      </c>
      <c r="B53" s="40">
        <f>'Non-OECD Americas 1995'!$J$27/'Non-OECD Americas 1995'!$L$27</f>
        <v>8.4427159293469459E-2</v>
      </c>
      <c r="C53" s="40">
        <f>'Non-OECD Americas 2000'!$J$27/'Non-OECD Americas 2000'!$L$27</f>
        <v>0.12170669153648869</v>
      </c>
      <c r="D53" s="40">
        <f>'Non-OECD Americas 2005'!$J$27/'Non-OECD Americas 2005'!$L$27</f>
        <v>0.11908036942424838</v>
      </c>
      <c r="E53" s="40">
        <f>'Non-OECD Americas 2010'!$J$27/'Non-OECD Americas 2010'!$L$27</f>
        <v>0.1193019943019943</v>
      </c>
      <c r="F53" s="40">
        <f>'Non-OECD Americas 2015'!$J$27/'Non-OECD Americas 2015'!$L$27</f>
        <v>0.16039558940547913</v>
      </c>
      <c r="G53" s="40">
        <f>'Non-OECD Americas 2018'!$J$27/'Non-OECD Americas 2018'!$L$27</f>
        <v>0.17708507904586335</v>
      </c>
      <c r="H53" s="89">
        <f>1-H54-H52-H51-H50-H49-H48</f>
        <v>0.17708507904586335</v>
      </c>
      <c r="I53" s="89">
        <f>1-I54-I52-I51-I50-I49-I48</f>
        <v>0.17708507904586335</v>
      </c>
    </row>
    <row r="54" spans="1:9" x14ac:dyDescent="0.35">
      <c r="A54" s="30" t="s">
        <v>148</v>
      </c>
      <c r="B54" s="40">
        <f>'Non-OECD Americas 1995'!$K$27/'Non-OECD Americas 1995'!$L$27</f>
        <v>0</v>
      </c>
      <c r="C54" s="40">
        <f>'Non-OECD Americas 2000'!$K$27/'Non-OECD Americas 2000'!$L$27</f>
        <v>0</v>
      </c>
      <c r="D54" s="40">
        <f>'Non-OECD Americas 2005'!$K$27/'Non-OECD Americas 2005'!$L$27</f>
        <v>0</v>
      </c>
      <c r="E54" s="40">
        <f>'Non-OECD Americas 2010'!$K$27/'Non-OECD Americas 2010'!$L$27</f>
        <v>0</v>
      </c>
      <c r="F54" s="40">
        <f>'Non-OECD Americas 2015'!$K$27/'Non-OECD Americas 2015'!$L$27</f>
        <v>0</v>
      </c>
      <c r="G54" s="40">
        <f>'Non-OECD Americas 2018'!$K$27/'Non-OECD Americas 2018'!$L$27</f>
        <v>0</v>
      </c>
      <c r="H54" s="77">
        <f t="shared" si="0"/>
        <v>0</v>
      </c>
      <c r="I54" s="77">
        <f t="shared" si="0"/>
        <v>0</v>
      </c>
    </row>
    <row r="55" spans="1:9" x14ac:dyDescent="0.35">
      <c r="A55" s="31" t="s">
        <v>153</v>
      </c>
      <c r="B55" s="81"/>
      <c r="C55" s="81"/>
      <c r="D55" s="81"/>
      <c r="E55" s="81"/>
      <c r="F55" s="81"/>
      <c r="G55" s="81"/>
      <c r="H55" s="42"/>
      <c r="I55" s="42"/>
    </row>
    <row r="56" spans="1:9" x14ac:dyDescent="0.35">
      <c r="A56" s="30" t="s">
        <v>141</v>
      </c>
      <c r="B56" s="40">
        <f>'Non-OECD Americas 1995'!$B$28/IF('Non-OECD Americas 1995'!$L$28=0,1,'Non-OECD Americas 1995'!$L$28)</f>
        <v>0</v>
      </c>
      <c r="C56" s="40">
        <f>'Non-OECD Americas 2000'!$B$28/IF('Non-OECD Americas 2000'!$L$28=0,1,'Non-OECD Americas 2000'!$L$28)</f>
        <v>0</v>
      </c>
      <c r="D56" s="40">
        <f>'Non-OECD Americas 2005'!$B$28/IF('Non-OECD Americas 2005'!$L$28=0,1,'Non-OECD Americas 2005'!$L$28)</f>
        <v>0</v>
      </c>
      <c r="E56" s="40">
        <f>'Non-OECD Americas 2010'!$B$28/IF('Non-OECD Americas 2010'!$L$28=0,1,'Non-OECD Americas 2010'!$L$28)</f>
        <v>0</v>
      </c>
      <c r="F56" s="40">
        <f>'Non-OECD Americas 2015'!$B$28/IF('Non-OECD Americas 2015'!$L$28=0,1,'Non-OECD Americas 2015'!$L$28)</f>
        <v>0</v>
      </c>
      <c r="G56" s="40">
        <f>'Non-OECD Americas 2018'!$B$28/IF('Non-OECD Americas 2018'!$L$28=0,1,'Non-OECD Americas 2018'!$L$28)</f>
        <v>0</v>
      </c>
      <c r="H56" s="77">
        <f t="shared" si="0"/>
        <v>0</v>
      </c>
      <c r="I56" s="77">
        <f t="shared" si="0"/>
        <v>0</v>
      </c>
    </row>
    <row r="57" spans="1:9" x14ac:dyDescent="0.35">
      <c r="A57" s="30" t="s">
        <v>143</v>
      </c>
      <c r="B57" s="40">
        <f>'Non-OECD Americas 1995'!$D$28/IF('Non-OECD Americas 1995'!$L$28=0,1,'Non-OECD Americas 1995'!$L$28)</f>
        <v>1</v>
      </c>
      <c r="C57" s="40">
        <f>'Non-OECD Americas 2000'!$D$28/IF('Non-OECD Americas 2000'!$L$28=0,1,'Non-OECD Americas 2000'!$L$28)</f>
        <v>0.99227799227799229</v>
      </c>
      <c r="D57" s="40">
        <f>'Non-OECD Americas 2005'!$D$28/IF('Non-OECD Americas 2005'!$L$28=0,1,'Non-OECD Americas 2005'!$L$28)</f>
        <v>0.96057347670250892</v>
      </c>
      <c r="E57" s="40">
        <f>'Non-OECD Americas 2010'!$D$28/IF('Non-OECD Americas 2010'!$L$28=0,1,'Non-OECD Americas 2010'!$L$28)</f>
        <v>0.8014184397163121</v>
      </c>
      <c r="F57" s="40">
        <f>'Non-OECD Americas 2015'!$D$28/IF('Non-OECD Americas 2015'!$L$28=0,1,'Non-OECD Americas 2015'!$L$28)</f>
        <v>0.64734299516908211</v>
      </c>
      <c r="G57" s="40">
        <f>'Non-OECD Americas 2018'!$D$28/IF('Non-OECD Americas 2018'!$L$28=0,1,'Non-OECD Americas 2018'!$L$28)</f>
        <v>0.58620689655172409</v>
      </c>
      <c r="H57" s="77">
        <f t="shared" si="0"/>
        <v>0.58620689655172409</v>
      </c>
      <c r="I57" s="77">
        <f t="shared" si="0"/>
        <v>0.58620689655172409</v>
      </c>
    </row>
    <row r="58" spans="1:9" x14ac:dyDescent="0.35">
      <c r="A58" s="30" t="s">
        <v>241</v>
      </c>
      <c r="B58" s="40">
        <f>'Non-OECD Americas 1995'!$E$28/IF('Non-OECD Americas 1995'!$L$28=0,1,'Non-OECD Americas 1995'!$L$28)</f>
        <v>0</v>
      </c>
      <c r="C58" s="40">
        <f>'Non-OECD Americas 2000'!$E$28/IF('Non-OECD Americas 2000'!$L$28=0,1,'Non-OECD Americas 2000'!$L$28)</f>
        <v>0</v>
      </c>
      <c r="D58" s="40">
        <f>'Non-OECD Americas 2005'!$E$28/IF('Non-OECD Americas 2005'!$L$28=0,1,'Non-OECD Americas 2005'!$L$28)</f>
        <v>3.5842293906810034E-2</v>
      </c>
      <c r="E58" s="40">
        <f>'Non-OECD Americas 2010'!$E$28/IF('Non-OECD Americas 2010'!$L$28=0,1,'Non-OECD Americas 2010'!$L$28)</f>
        <v>5.6737588652482268E-2</v>
      </c>
      <c r="F58" s="40">
        <f>'Non-OECD Americas 2015'!$E$28/IF('Non-OECD Americas 2015'!$L$28=0,1,'Non-OECD Americas 2015'!$L$28)</f>
        <v>0.20289855072463769</v>
      </c>
      <c r="G58" s="40">
        <f>'Non-OECD Americas 2018'!$E$28/IF('Non-OECD Americas 2018'!$L$28=0,1,'Non-OECD Americas 2018'!$L$28)</f>
        <v>2.2988505747126436E-2</v>
      </c>
      <c r="H58" s="77">
        <f t="shared" si="0"/>
        <v>2.2988505747126436E-2</v>
      </c>
      <c r="I58" s="77">
        <f t="shared" si="0"/>
        <v>2.2988505747126436E-2</v>
      </c>
    </row>
    <row r="59" spans="1:9" x14ac:dyDescent="0.35">
      <c r="A59" s="30" t="s">
        <v>145</v>
      </c>
      <c r="B59" s="40">
        <f>'Non-OECD Americas 1995'!$H$28/IF('Non-OECD Americas 1995'!$L$28=0,1,'Non-OECD Americas 1995'!$L$28)</f>
        <v>0</v>
      </c>
      <c r="C59" s="40">
        <f>'Non-OECD Americas 2000'!$H$28/IF('Non-OECD Americas 2000'!$L$28=0,1,'Non-OECD Americas 2000'!$L$28)</f>
        <v>0</v>
      </c>
      <c r="D59" s="40">
        <f>'Non-OECD Americas 2005'!$H$28/IF('Non-OECD Americas 2005'!$L$28=0,1,'Non-OECD Americas 2005'!$L$28)</f>
        <v>0</v>
      </c>
      <c r="E59" s="40">
        <f>'Non-OECD Americas 2010'!$H$28/IF('Non-OECD Americas 2010'!$L$28=0,1,'Non-OECD Americas 2010'!$L$28)</f>
        <v>0</v>
      </c>
      <c r="F59" s="40">
        <f>'Non-OECD Americas 2015'!$H$28/IF('Non-OECD Americas 2015'!$L$28=0,1,'Non-OECD Americas 2015'!$L$28)</f>
        <v>0</v>
      </c>
      <c r="G59" s="40">
        <f>'Non-OECD Americas 2018'!$H$28/IF('Non-OECD Americas 2018'!$L$28=0,1,'Non-OECD Americas 2018'!$L$28)</f>
        <v>0</v>
      </c>
      <c r="H59" s="77">
        <f t="shared" si="0"/>
        <v>0</v>
      </c>
      <c r="I59" s="77">
        <f t="shared" si="0"/>
        <v>0</v>
      </c>
    </row>
    <row r="60" spans="1:9" x14ac:dyDescent="0.35">
      <c r="A60" s="30" t="s">
        <v>146</v>
      </c>
      <c r="B60" s="40">
        <f>'Non-OECD Americas 1995'!$I$28/IF('Non-OECD Americas 1995'!$L$28=0,1,'Non-OECD Americas 1995'!$L$28)</f>
        <v>0</v>
      </c>
      <c r="C60" s="40">
        <f>'Non-OECD Americas 2000'!$I$28/IF('Non-OECD Americas 2000'!$L$28=0,1,'Non-OECD Americas 2000'!$L$28)</f>
        <v>3.8610038610038611E-3</v>
      </c>
      <c r="D60" s="40">
        <f>'Non-OECD Americas 2005'!$I$28/IF('Non-OECD Americas 2005'!$L$28=0,1,'Non-OECD Americas 2005'!$L$28)</f>
        <v>3.5842293906810036E-3</v>
      </c>
      <c r="E60" s="40">
        <f>'Non-OECD Americas 2010'!$I$28/IF('Non-OECD Americas 2010'!$L$28=0,1,'Non-OECD Americas 2010'!$L$28)</f>
        <v>1.4184397163120567E-2</v>
      </c>
      <c r="F60" s="40">
        <f>'Non-OECD Americas 2015'!$I$28/IF('Non-OECD Americas 2015'!$L$28=0,1,'Non-OECD Americas 2015'!$L$28)</f>
        <v>2.4154589371980676E-2</v>
      </c>
      <c r="G60" s="40">
        <f>'Non-OECD Americas 2018'!$I$28/IF('Non-OECD Americas 2018'!$L$28=0,1,'Non-OECD Americas 2018'!$L$28)</f>
        <v>2.2988505747126436E-2</v>
      </c>
      <c r="H60" s="77">
        <f t="shared" si="0"/>
        <v>2.2988505747126436E-2</v>
      </c>
      <c r="I60" s="77">
        <f t="shared" si="0"/>
        <v>2.2988505747126436E-2</v>
      </c>
    </row>
    <row r="61" spans="1:9" x14ac:dyDescent="0.35">
      <c r="A61" s="30" t="s">
        <v>147</v>
      </c>
      <c r="B61" s="40">
        <f>'Non-OECD Americas 1995'!$J$28/IF('Non-OECD Americas 1995'!$L$28=0,1,'Non-OECD Americas 1995'!$L$28)</f>
        <v>0</v>
      </c>
      <c r="C61" s="40">
        <f>'Non-OECD Americas 2000'!$J$28/IF('Non-OECD Americas 2000'!$L$28=0,1,'Non-OECD Americas 2000'!$L$28)</f>
        <v>0</v>
      </c>
      <c r="D61" s="40">
        <f>'Non-OECD Americas 2005'!$J$28/IF('Non-OECD Americas 2005'!$L$28=0,1,'Non-OECD Americas 2005'!$L$28)</f>
        <v>0</v>
      </c>
      <c r="E61" s="40">
        <f>'Non-OECD Americas 2010'!$J$28/IF('Non-OECD Americas 2010'!$L$28=0,1,'Non-OECD Americas 2010'!$L$28)</f>
        <v>0.13475177304964539</v>
      </c>
      <c r="F61" s="40">
        <f>'Non-OECD Americas 2015'!$J$28/IF('Non-OECD Americas 2015'!$L$28=0,1,'Non-OECD Americas 2015'!$L$28)</f>
        <v>0.12560386473429952</v>
      </c>
      <c r="G61" s="40">
        <f>'Non-OECD Americas 2018'!$J$28/IF('Non-OECD Americas 2018'!$L$28=0,1,'Non-OECD Americas 2018'!$L$28)</f>
        <v>0.36781609195402298</v>
      </c>
      <c r="H61" s="89">
        <f>1-H62-H60-H59-H58-H57-H56</f>
        <v>0.36781609195402309</v>
      </c>
      <c r="I61" s="89">
        <f>1-I62-I60-I59-I58-I57-I56</f>
        <v>0.36781609195402309</v>
      </c>
    </row>
    <row r="62" spans="1:9" x14ac:dyDescent="0.35">
      <c r="A62" s="30" t="s">
        <v>148</v>
      </c>
      <c r="B62" s="40">
        <f>'Non-OECD Americas 1995'!$K$28/IF('Non-OECD Americas 1995'!$L$28=0,1,'Non-OECD Americas 1995'!$L$28)</f>
        <v>0</v>
      </c>
      <c r="C62" s="40">
        <f>'Non-OECD Americas 2000'!$K$28/IF('Non-OECD Americas 2000'!$L$28=0,1,'Non-OECD Americas 2000'!$L$28)</f>
        <v>0</v>
      </c>
      <c r="D62" s="40">
        <f>'Non-OECD Americas 2005'!$K$28/IF('Non-OECD Americas 2005'!$L$28=0,1,'Non-OECD Americas 2005'!$L$28)</f>
        <v>0</v>
      </c>
      <c r="E62" s="40">
        <f>'Non-OECD Americas 2010'!$K$28/IF('Non-OECD Americas 2010'!$L$28=0,1,'Non-OECD Americas 2010'!$L$28)</f>
        <v>0</v>
      </c>
      <c r="F62" s="40">
        <f>'Non-OECD Americas 2015'!$K$28/IF('Non-OECD Americas 2015'!$L$28=0,1,'Non-OECD Americas 2015'!$L$28)</f>
        <v>0</v>
      </c>
      <c r="G62" s="40">
        <f>'Non-OECD Americas 2018'!$K$28/IF('Non-OECD Americas 2018'!$L$28=0,1,'Non-OECD Americas 2018'!$L$28)</f>
        <v>0</v>
      </c>
      <c r="H62" s="77">
        <f t="shared" si="0"/>
        <v>0</v>
      </c>
      <c r="I62" s="77">
        <f t="shared" si="0"/>
        <v>0</v>
      </c>
    </row>
    <row r="63" spans="1:9" x14ac:dyDescent="0.35">
      <c r="A63" s="31" t="s">
        <v>154</v>
      </c>
      <c r="B63" s="81"/>
      <c r="C63" s="81"/>
      <c r="D63" s="81"/>
      <c r="E63" s="81"/>
      <c r="F63" s="81"/>
      <c r="G63" s="81"/>
      <c r="H63" s="42"/>
      <c r="I63" s="42"/>
    </row>
    <row r="64" spans="1:9" x14ac:dyDescent="0.35">
      <c r="A64" s="30" t="s">
        <v>141</v>
      </c>
      <c r="B64" s="40">
        <f>'Non-OECD Americas 1995'!$B$29/'Non-OECD Americas 1995'!$L$29</f>
        <v>3.6101083032490973E-4</v>
      </c>
      <c r="C64" s="40">
        <f>'Non-OECD Americas 2000'!$B$29/'Non-OECD Americas 2000'!$L$29</f>
        <v>5.7703404500865547E-4</v>
      </c>
      <c r="D64" s="40">
        <f>'Non-OECD Americas 2005'!$B$29/'Non-OECD Americas 2005'!$L$29</f>
        <v>8.5726532361765965E-4</v>
      </c>
      <c r="E64" s="40">
        <f>'Non-OECD Americas 2010'!$B$29/'Non-OECD Americas 2010'!$L$29</f>
        <v>0</v>
      </c>
      <c r="F64" s="40">
        <f>'Non-OECD Americas 2015'!$B$29/'Non-OECD Americas 2015'!$L$29</f>
        <v>1.7985611510791367E-4</v>
      </c>
      <c r="G64" s="40">
        <f>'Non-OECD Americas 2018'!$B$29/'Non-OECD Americas 2018'!$L$29</f>
        <v>2.0345879959308239E-4</v>
      </c>
      <c r="H64" s="77">
        <f t="shared" si="0"/>
        <v>2.0345879959308239E-4</v>
      </c>
      <c r="I64" s="77">
        <f t="shared" si="0"/>
        <v>2.0345879959308239E-4</v>
      </c>
    </row>
    <row r="65" spans="1:9" x14ac:dyDescent="0.35">
      <c r="A65" s="30" t="s">
        <v>143</v>
      </c>
      <c r="B65" s="40">
        <f>'Non-OECD Americas 1995'!$D$29/'Non-OECD Americas 1995'!$L$29</f>
        <v>0.54223826714801449</v>
      </c>
      <c r="C65" s="40">
        <f>'Non-OECD Americas 2000'!$D$29/'Non-OECD Americas 2000'!$L$29</f>
        <v>0.65262550490478943</v>
      </c>
      <c r="D65" s="40">
        <f>'Non-OECD Americas 2005'!$D$29/'Non-OECD Americas 2005'!$L$29</f>
        <v>0.71581654522074578</v>
      </c>
      <c r="E65" s="40">
        <f>'Non-OECD Americas 2010'!$D$29/'Non-OECD Americas 2010'!$L$29</f>
        <v>0.7295620437956204</v>
      </c>
      <c r="F65" s="40">
        <f>'Non-OECD Americas 2015'!$D$29/'Non-OECD Americas 2015'!$L$29</f>
        <v>0.56330935251798564</v>
      </c>
      <c r="G65" s="40">
        <f>'Non-OECD Americas 2018'!$D$29/'Non-OECD Americas 2018'!$L$29</f>
        <v>0.56561546286876907</v>
      </c>
      <c r="H65" s="77">
        <f t="shared" si="0"/>
        <v>0.56561546286876907</v>
      </c>
      <c r="I65" s="77">
        <f t="shared" si="0"/>
        <v>0.56561546286876907</v>
      </c>
    </row>
    <row r="66" spans="1:9" x14ac:dyDescent="0.35">
      <c r="A66" s="30" t="s">
        <v>241</v>
      </c>
      <c r="B66" s="40">
        <f>'Non-OECD Americas 1995'!$E$29/'Non-OECD Americas 1995'!$L$29</f>
        <v>7.5812274368231049E-3</v>
      </c>
      <c r="C66" s="40">
        <f>'Non-OECD Americas 2000'!$E$29/'Non-OECD Americas 2000'!$L$29</f>
        <v>1.4425851125216388E-2</v>
      </c>
      <c r="D66" s="40">
        <f>'Non-OECD Americas 2005'!$E$29/'Non-OECD Americas 2005'!$L$29</f>
        <v>1.1144449207029576E-2</v>
      </c>
      <c r="E66" s="40">
        <f>'Non-OECD Americas 2010'!$E$29/'Non-OECD Americas 2010'!$L$29</f>
        <v>1.4598540145985401E-3</v>
      </c>
      <c r="F66" s="40">
        <f>'Non-OECD Americas 2015'!$E$29/'Non-OECD Americas 2015'!$L$29</f>
        <v>0.13884892086330936</v>
      </c>
      <c r="G66" s="40">
        <f>'Non-OECD Americas 2018'!$E$29/'Non-OECD Americas 2018'!$L$29</f>
        <v>0.15930824008138353</v>
      </c>
      <c r="H66" s="77">
        <f t="shared" si="0"/>
        <v>0.15930824008138353</v>
      </c>
      <c r="I66" s="77">
        <f t="shared" si="0"/>
        <v>0.15930824008138353</v>
      </c>
    </row>
    <row r="67" spans="1:9" x14ac:dyDescent="0.35">
      <c r="A67" s="30" t="s">
        <v>145</v>
      </c>
      <c r="B67" s="40">
        <f>'Non-OECD Americas 1995'!$H$29/'Non-OECD Americas 1995'!$L$29</f>
        <v>0</v>
      </c>
      <c r="C67" s="40">
        <f>'Non-OECD Americas 2000'!$H$29/'Non-OECD Americas 2000'!$L$29</f>
        <v>1.7311021350259664E-2</v>
      </c>
      <c r="D67" s="40">
        <f>'Non-OECD Americas 2005'!$H$29/'Non-OECD Americas 2005'!$L$29</f>
        <v>4.3720531504500643E-2</v>
      </c>
      <c r="E67" s="40">
        <f>'Non-OECD Americas 2010'!$H$29/'Non-OECD Americas 2010'!$L$29</f>
        <v>0.1343065693430657</v>
      </c>
      <c r="F67" s="40">
        <f>'Non-OECD Americas 2015'!$H$29/'Non-OECD Americas 2015'!$L$29</f>
        <v>0.125</v>
      </c>
      <c r="G67" s="40">
        <f>'Non-OECD Americas 2018'!$H$29/'Non-OECD Americas 2018'!$L$29</f>
        <v>0.18351983723296034</v>
      </c>
      <c r="H67" s="77">
        <f t="shared" si="0"/>
        <v>0.18351983723296034</v>
      </c>
      <c r="I67" s="77">
        <f t="shared" si="0"/>
        <v>0.18351983723296034</v>
      </c>
    </row>
    <row r="68" spans="1:9" x14ac:dyDescent="0.35">
      <c r="A68" s="30" t="s">
        <v>146</v>
      </c>
      <c r="B68" s="40">
        <f>'Non-OECD Americas 1995'!$I$29/'Non-OECD Americas 1995'!$L$29</f>
        <v>4.5126353790613721E-2</v>
      </c>
      <c r="C68" s="40">
        <f>'Non-OECD Americas 2000'!$I$29/'Non-OECD Americas 2000'!$L$29</f>
        <v>9.2325447201384886E-2</v>
      </c>
      <c r="D68" s="40">
        <f>'Non-OECD Americas 2005'!$I$29/'Non-OECD Americas 2005'!$L$29</f>
        <v>6.7295327903986291E-2</v>
      </c>
      <c r="E68" s="40">
        <f>'Non-OECD Americas 2010'!$I$29/'Non-OECD Americas 2010'!$L$29</f>
        <v>3.0291970802919708E-2</v>
      </c>
      <c r="F68" s="40">
        <f>'Non-OECD Americas 2015'!$I$29/'Non-OECD Americas 2015'!$L$29</f>
        <v>1.6546762589928057E-2</v>
      </c>
      <c r="G68" s="40">
        <f>'Non-OECD Americas 2018'!$I$29/'Non-OECD Americas 2018'!$L$29</f>
        <v>1.5869786368260426E-2</v>
      </c>
      <c r="H68" s="77">
        <f t="shared" si="0"/>
        <v>1.5869786368260426E-2</v>
      </c>
      <c r="I68" s="77">
        <f t="shared" si="0"/>
        <v>1.5869786368260426E-2</v>
      </c>
    </row>
    <row r="69" spans="1:9" x14ac:dyDescent="0.35">
      <c r="A69" s="30" t="s">
        <v>147</v>
      </c>
      <c r="B69" s="40">
        <f>'Non-OECD Americas 1995'!$J$29/'Non-OECD Americas 1995'!$L$29</f>
        <v>0.36895306859205779</v>
      </c>
      <c r="C69" s="40">
        <f>'Non-OECD Americas 2000'!$J$29/'Non-OECD Americas 2000'!$L$29</f>
        <v>0.22215810732833238</v>
      </c>
      <c r="D69" s="40">
        <f>'Non-OECD Americas 2005'!$J$29/'Non-OECD Americas 2005'!$L$29</f>
        <v>0.16116588084012001</v>
      </c>
      <c r="E69" s="40">
        <f>'Non-OECD Americas 2010'!$J$29/'Non-OECD Americas 2010'!$L$29</f>
        <v>0.10401459854014598</v>
      </c>
      <c r="F69" s="40">
        <f>'Non-OECD Americas 2015'!$J$29/'Non-OECD Americas 2015'!$L$29</f>
        <v>0.15611510791366906</v>
      </c>
      <c r="G69" s="40">
        <f>'Non-OECD Americas 2018'!$J$29/'Non-OECD Americas 2018'!$L$29</f>
        <v>7.5279755849440494E-2</v>
      </c>
      <c r="H69" s="89">
        <f>1-H70-H68-H67-H66-H65-H64</f>
        <v>7.5483214649033598E-2</v>
      </c>
      <c r="I69" s="89">
        <f>1-I70-I68-I67-I66-I65-I64</f>
        <v>7.5483214649033598E-2</v>
      </c>
    </row>
    <row r="70" spans="1:9" x14ac:dyDescent="0.35">
      <c r="A70" s="30" t="s">
        <v>148</v>
      </c>
      <c r="B70" s="40">
        <f>'Non-OECD Americas 1995'!$K$29/'Non-OECD Americas 1995'!$L$29</f>
        <v>0</v>
      </c>
      <c r="C70" s="40">
        <f>'Non-OECD Americas 2000'!$K$29/'Non-OECD Americas 2000'!$L$29</f>
        <v>0</v>
      </c>
      <c r="D70" s="40">
        <f>'Non-OECD Americas 2005'!$K$29/'Non-OECD Americas 2005'!$L$29</f>
        <v>0</v>
      </c>
      <c r="E70" s="40">
        <f>'Non-OECD Americas 2010'!$K$29/'Non-OECD Americas 2010'!$L$29</f>
        <v>0</v>
      </c>
      <c r="F70" s="40">
        <f>'Non-OECD Americas 2015'!$K$29/'Non-OECD Americas 2015'!$L$29</f>
        <v>0</v>
      </c>
      <c r="G70" s="40">
        <f>'Non-OECD Americas 2018'!$K$29/'Non-OECD Americas 2018'!$L$29</f>
        <v>0</v>
      </c>
      <c r="H70" s="77">
        <f t="shared" ref="H70:I132" si="1">G70</f>
        <v>0</v>
      </c>
      <c r="I70" s="77">
        <f t="shared" si="1"/>
        <v>0</v>
      </c>
    </row>
    <row r="71" spans="1:9" x14ac:dyDescent="0.35">
      <c r="A71" s="38" t="s">
        <v>155</v>
      </c>
      <c r="B71" s="42"/>
      <c r="C71" s="42"/>
      <c r="D71" s="42"/>
      <c r="E71" s="42"/>
      <c r="F71" s="42"/>
      <c r="G71" s="42"/>
      <c r="H71" s="42"/>
      <c r="I71" s="42"/>
    </row>
    <row r="72" spans="1:9" x14ac:dyDescent="0.35">
      <c r="A72" s="30" t="s">
        <v>147</v>
      </c>
      <c r="B72" s="40">
        <f>'Non-OECD Americas 1995'!$J21/IF('Non-OECD Americas 1995'!$J22=0,1,'Non-OECD Americas 1995'!$J22)*-1</f>
        <v>0.1998405402870275</v>
      </c>
      <c r="C72" s="40">
        <f>'Non-OECD Americas 2000'!$J21/IF('Non-OECD Americas 2000'!$J22=0,1,'Non-OECD Americas 2000'!$J22)*-1</f>
        <v>0.2022945490285023</v>
      </c>
      <c r="D72" s="40">
        <f>'Non-OECD Americas 2005'!$J21/IF('Non-OECD Americas 2005'!$J22=0,1,'Non-OECD Americas 2005'!$J22)*-1</f>
        <v>0.20562427490645271</v>
      </c>
      <c r="E72" s="40">
        <f>'Non-OECD Americas 2010'!$J21/IF('Non-OECD Americas 2010'!$J22=0,1,'Non-OECD Americas 2010'!$J22)*-1</f>
        <v>0.1946633747982148</v>
      </c>
      <c r="F72" s="40">
        <f>'Non-OECD Americas 2015'!$J21/IF('Non-OECD Americas 2015'!$J22=0,1,'Non-OECD Americas 2015'!$J22)*-1</f>
        <v>0.19628337757883835</v>
      </c>
      <c r="G72" s="40">
        <f>'Non-OECD Americas 2018'!$J21/IF('Non-OECD Americas 2018'!$J22=0,1,'Non-OECD Americas 2018'!$J22)*-1</f>
        <v>0.20107582274083213</v>
      </c>
      <c r="H72" s="77">
        <f t="shared" si="1"/>
        <v>0.20107582274083213</v>
      </c>
      <c r="I72" s="77">
        <f t="shared" si="1"/>
        <v>0.20107582274083213</v>
      </c>
    </row>
    <row r="73" spans="1:9" x14ac:dyDescent="0.35">
      <c r="A73" s="30" t="s">
        <v>148</v>
      </c>
      <c r="B73" s="40">
        <f>'Non-OECD Americas 1995'!$K21/IF('Non-OECD Americas 1995'!$K22=0,1,'Non-OECD Americas 1995'!$K22)*-1</f>
        <v>0</v>
      </c>
      <c r="C73" s="40">
        <f>'Non-OECD Americas 2000'!$K21/IF('Non-OECD Americas 2000'!$K22=0,1,'Non-OECD Americas 2000'!$K22)*-1</f>
        <v>0</v>
      </c>
      <c r="D73" s="40">
        <f>'Non-OECD Americas 2005'!$K21/IF('Non-OECD Americas 2005'!$K22=0,1,'Non-OECD Americas 2005'!$K22)*-1</f>
        <v>0</v>
      </c>
      <c r="E73" s="40">
        <f>'Non-OECD Americas 2010'!$K21/IF('Non-OECD Americas 2010'!$K22=0,1,'Non-OECD Americas 2010'!$K22)*-1</f>
        <v>0</v>
      </c>
      <c r="F73" s="40">
        <f>'Non-OECD Americas 2015'!$K21/IF('Non-OECD Americas 2015'!$K22=0,1,'Non-OECD Americas 2015'!$K22)*-1</f>
        <v>0</v>
      </c>
      <c r="G73" s="40">
        <f>'Non-OECD Americas 2018'!$K21/IF('Non-OECD Americas 2018'!$K22=0,1,'Non-OECD Americas 2018'!$K22)*-1</f>
        <v>0</v>
      </c>
      <c r="H73" s="77">
        <f t="shared" si="1"/>
        <v>0</v>
      </c>
      <c r="I73" s="77">
        <f t="shared" si="1"/>
        <v>0</v>
      </c>
    </row>
    <row r="74" spans="1:9" x14ac:dyDescent="0.35">
      <c r="A74" s="38" t="s">
        <v>242</v>
      </c>
      <c r="B74" s="42"/>
      <c r="C74" s="42"/>
      <c r="D74" s="42"/>
      <c r="E74" s="42"/>
      <c r="F74" s="42"/>
      <c r="G74" s="42"/>
      <c r="H74" s="42"/>
      <c r="I74" s="42"/>
    </row>
    <row r="75" spans="1:9" x14ac:dyDescent="0.35">
      <c r="A75" s="30" t="s">
        <v>243</v>
      </c>
      <c r="B75" s="40">
        <f>'Non-OECD Americas 1995'!$L20/B5*0.041872</f>
        <v>0.11973526326513671</v>
      </c>
      <c r="C75" s="40">
        <f>'Non-OECD Americas 2000'!$L20/C5*0.041872</f>
        <v>0.1399724736540722</v>
      </c>
      <c r="D75" s="40">
        <f>'Non-OECD Americas 2005'!$L20/D5*0.041872</f>
        <v>0.14027633356042407</v>
      </c>
      <c r="E75" s="40">
        <f>'Non-OECD Americas 2010'!$L20/E5*0.041872</f>
        <v>0.14081288038404441</v>
      </c>
      <c r="F75" s="40">
        <f>'Non-OECD Americas 2015'!$L20/F5*0.041872</f>
        <v>0.13757709343970842</v>
      </c>
      <c r="G75" s="40">
        <f>'Non-OECD Americas 2018'!$L20/G5*0.041872</f>
        <v>0.13102532921353099</v>
      </c>
      <c r="H75" s="77">
        <f t="shared" si="1"/>
        <v>0.13102532921353099</v>
      </c>
      <c r="I75" s="77">
        <f t="shared" si="1"/>
        <v>0.13102532921353099</v>
      </c>
    </row>
    <row r="76" spans="1:9" x14ac:dyDescent="0.35">
      <c r="A76" s="39" t="s">
        <v>158</v>
      </c>
      <c r="B76" s="43"/>
      <c r="C76" s="43"/>
      <c r="D76" s="43"/>
      <c r="E76" s="43"/>
      <c r="F76" s="43"/>
      <c r="G76" s="43"/>
      <c r="H76" s="43">
        <f t="shared" si="1"/>
        <v>0</v>
      </c>
      <c r="I76" s="43">
        <f t="shared" si="1"/>
        <v>0</v>
      </c>
    </row>
    <row r="77" spans="1:9" x14ac:dyDescent="0.35">
      <c r="A77" s="30" t="s">
        <v>147</v>
      </c>
      <c r="B77" s="40">
        <f>'Non-OECD Americas 1995'!$J20/'Non-OECD Americas 1995'!$L20</f>
        <v>5.0138661288289421E-2</v>
      </c>
      <c r="C77" s="40">
        <f>'Non-OECD Americas 2000'!$J20/'Non-OECD Americas 2000'!$L20</f>
        <v>4.4091963922581877E-2</v>
      </c>
      <c r="D77" s="40">
        <f>'Non-OECD Americas 2005'!$J20/'Non-OECD Americas 2005'!$L20</f>
        <v>4.8225620926170491E-2</v>
      </c>
      <c r="E77" s="40">
        <f>'Non-OECD Americas 2010'!$J20/'Non-OECD Americas 2010'!$L20</f>
        <v>6.2767190783276569E-2</v>
      </c>
      <c r="F77" s="40">
        <f>'Non-OECD Americas 2015'!$J20/'Non-OECD Americas 2015'!$L20</f>
        <v>7.665066230803283E-2</v>
      </c>
      <c r="G77" s="40">
        <f>'Non-OECD Americas 2018'!$J20/'Non-OECD Americas 2018'!$L20</f>
        <v>8.1038623354580092E-2</v>
      </c>
      <c r="H77" s="89">
        <f>1-H78-H79-H80-H81-H82-H83</f>
        <v>8.1038623354579953E-2</v>
      </c>
      <c r="I77" s="89">
        <f>1-I78-I79-I80-I81-I82-I83</f>
        <v>8.1038623354579953E-2</v>
      </c>
    </row>
    <row r="78" spans="1:9" x14ac:dyDescent="0.35">
      <c r="A78" s="30" t="s">
        <v>148</v>
      </c>
      <c r="B78" s="40">
        <f>'Non-OECD Americas 1995'!$K20/'Non-OECD Americas 1995'!$L20</f>
        <v>0</v>
      </c>
      <c r="C78" s="40">
        <f>'Non-OECD Americas 2000'!$K20/'Non-OECD Americas 2000'!$L20</f>
        <v>0</v>
      </c>
      <c r="D78" s="40">
        <f>'Non-OECD Americas 2005'!$K20/'Non-OECD Americas 2005'!$L20</f>
        <v>0</v>
      </c>
      <c r="E78" s="40">
        <f>'Non-OECD Americas 2010'!$K20/'Non-OECD Americas 2010'!$L20</f>
        <v>0</v>
      </c>
      <c r="F78" s="40">
        <f>'Non-OECD Americas 2015'!$K20/'Non-OECD Americas 2015'!$L20</f>
        <v>0</v>
      </c>
      <c r="G78" s="40">
        <f>'Non-OECD Americas 2018'!$K20/'Non-OECD Americas 2018'!$L20</f>
        <v>0</v>
      </c>
      <c r="H78" s="77">
        <f t="shared" si="1"/>
        <v>0</v>
      </c>
      <c r="I78" s="77">
        <f t="shared" si="1"/>
        <v>0</v>
      </c>
    </row>
    <row r="79" spans="1:9" x14ac:dyDescent="0.35">
      <c r="A79" s="30" t="s">
        <v>141</v>
      </c>
      <c r="B79" s="40">
        <f>'Non-OECD Americas 1995'!$B20/'Non-OECD Americas 1995'!$L20</f>
        <v>3.0631539140300014E-2</v>
      </c>
      <c r="C79" s="40">
        <f>'Non-OECD Americas 2000'!$B20/'Non-OECD Americas 2000'!$L20</f>
        <v>1.7943012990741407E-2</v>
      </c>
      <c r="D79" s="40">
        <f>'Non-OECD Americas 2005'!$B20/'Non-OECD Americas 2005'!$L20</f>
        <v>1.6188812678396454E-2</v>
      </c>
      <c r="E79" s="40">
        <f>'Non-OECD Americas 2010'!$B20/'Non-OECD Americas 2010'!$L20</f>
        <v>8.4414172886022754E-3</v>
      </c>
      <c r="F79" s="40">
        <f>'Non-OECD Americas 2015'!$B20/'Non-OECD Americas 2015'!$L20</f>
        <v>6.8273912895426836E-3</v>
      </c>
      <c r="G79" s="40">
        <f>'Non-OECD Americas 2018'!$B20/'Non-OECD Americas 2018'!$L20</f>
        <v>1.0635416478575684E-2</v>
      </c>
      <c r="H79" s="77">
        <f t="shared" si="1"/>
        <v>1.0635416478575684E-2</v>
      </c>
      <c r="I79" s="77">
        <f t="shared" si="1"/>
        <v>1.0635416478575684E-2</v>
      </c>
    </row>
    <row r="80" spans="1:9" x14ac:dyDescent="0.35">
      <c r="A80" s="30" t="s">
        <v>244</v>
      </c>
      <c r="B80" s="40">
        <f>'Non-OECD Americas 1995'!$E20/'Non-OECD Americas 1995'!$L20</f>
        <v>0.35929030631539138</v>
      </c>
      <c r="C80" s="40">
        <f>'Non-OECD Americas 2000'!$E20/'Non-OECD Americas 2000'!$L20</f>
        <v>0.43541711524199145</v>
      </c>
      <c r="D80" s="40">
        <f>'Non-OECD Americas 2005'!$E20/'Non-OECD Americas 2005'!$L20</f>
        <v>0.41539215268606483</v>
      </c>
      <c r="E80" s="40">
        <f>'Non-OECD Americas 2010'!$E20/'Non-OECD Americas 2010'!$L20</f>
        <v>0.40527860299978263</v>
      </c>
      <c r="F80" s="40">
        <f>'Non-OECD Americas 2015'!$E20/'Non-OECD Americas 2015'!$L20</f>
        <v>0.40060271733578506</v>
      </c>
      <c r="G80" s="40">
        <f>'Non-OECD Americas 2018'!$E20/'Non-OECD Americas 2018'!$L20</f>
        <v>0.42406240407359924</v>
      </c>
      <c r="H80" s="77">
        <f t="shared" si="1"/>
        <v>0.42406240407359924</v>
      </c>
      <c r="I80" s="77">
        <f t="shared" si="1"/>
        <v>0.42406240407359924</v>
      </c>
    </row>
    <row r="81" spans="1:9" x14ac:dyDescent="0.35">
      <c r="A81" s="30" t="s">
        <v>160</v>
      </c>
      <c r="B81" s="40">
        <f>'Non-OECD Americas 1995'!$C20/'Non-OECD Americas 1995'!$L20</f>
        <v>5.2943400983234586E-3</v>
      </c>
      <c r="C81" s="40">
        <f>'Non-OECD Americas 2000'!$C20/'Non-OECD Americas 2000'!$L20</f>
        <v>4.5934113256297995E-3</v>
      </c>
      <c r="D81" s="40">
        <f>'Non-OECD Americas 2005'!$C20/'Non-OECD Americas 2005'!$L20</f>
        <v>3.472074298129766E-3</v>
      </c>
      <c r="E81" s="40">
        <f>'Non-OECD Americas 2010'!$C20/'Non-OECD Americas 2010'!$L20</f>
        <v>1.0198536337946526E-2</v>
      </c>
      <c r="F81" s="40">
        <f>'Non-OECD Americas 2015'!$C20/'Non-OECD Americas 2015'!$L20</f>
        <v>8.2575680185241942E-3</v>
      </c>
      <c r="G81" s="40">
        <f>'Non-OECD Americas 2018'!$C20/'Non-OECD Americas 2018'!$L20</f>
        <v>8.3783246961954463E-3</v>
      </c>
      <c r="H81" s="77">
        <f t="shared" si="1"/>
        <v>8.3783246961954463E-3</v>
      </c>
      <c r="I81" s="77">
        <f t="shared" si="1"/>
        <v>8.3783246961954463E-3</v>
      </c>
    </row>
    <row r="82" spans="1:9" x14ac:dyDescent="0.35">
      <c r="A82" s="30" t="s">
        <v>143</v>
      </c>
      <c r="B82" s="40">
        <f>'Non-OECD Americas 1995'!$D20/'Non-OECD Americas 1995'!$L20</f>
        <v>0.32862725324593473</v>
      </c>
      <c r="C82" s="40">
        <f>'Non-OECD Americas 2000'!$D20/'Non-OECD Americas 2000'!$L20</f>
        <v>0.36529582047417403</v>
      </c>
      <c r="D82" s="40">
        <f>'Non-OECD Americas 2005'!$D20/'Non-OECD Americas 2005'!$L20</f>
        <v>0.34448089294082562</v>
      </c>
      <c r="E82" s="40">
        <f>'Non-OECD Americas 2010'!$D20/'Non-OECD Americas 2010'!$L20</f>
        <v>0.28077675530758639</v>
      </c>
      <c r="F82" s="40">
        <f>'Non-OECD Americas 2015'!$D20/'Non-OECD Americas 2015'!$L20</f>
        <v>0.28162563421527564</v>
      </c>
      <c r="G82" s="40">
        <f>'Non-OECD Americas 2018'!$D20/'Non-OECD Americas 2018'!$L20</f>
        <v>0.21624744948628591</v>
      </c>
      <c r="H82" s="77">
        <f t="shared" si="1"/>
        <v>0.21624744948628591</v>
      </c>
      <c r="I82" s="77">
        <f t="shared" si="1"/>
        <v>0.21624744948628591</v>
      </c>
    </row>
    <row r="83" spans="1:9" x14ac:dyDescent="0.35">
      <c r="A83" s="30" t="s">
        <v>161</v>
      </c>
      <c r="B83" s="40">
        <f>'Non-OECD Americas 1995'!$I20/'Non-OECD Americas 1995'!$L20</f>
        <v>0.22604941384091767</v>
      </c>
      <c r="C83" s="40">
        <f>'Non-OECD Americas 2000'!$I20/'Non-OECD Americas 2000'!$L20</f>
        <v>0.13268260006220245</v>
      </c>
      <c r="D83" s="40">
        <f>'Non-OECD Americas 2005'!$I20/'Non-OECD Americas 2005'!$L20</f>
        <v>0.17224044647041281</v>
      </c>
      <c r="E83" s="40">
        <f>'Non-OECD Americas 2010'!$I20/'Non-OECD Americas 2010'!$L20</f>
        <v>0.23255561191218027</v>
      </c>
      <c r="F83" s="40">
        <f>'Non-OECD Americas 2015'!$I20/'Non-OECD Americas 2015'!$L20</f>
        <v>0.22600197500595906</v>
      </c>
      <c r="G83" s="40">
        <f>'Non-OECD Americas 2018'!$I20/'Non-OECD Americas 2018'!$L20</f>
        <v>0.25963778191076364</v>
      </c>
      <c r="H83" s="77">
        <f t="shared" si="1"/>
        <v>0.25963778191076364</v>
      </c>
      <c r="I83" s="77">
        <f t="shared" si="1"/>
        <v>0.25963778191076364</v>
      </c>
    </row>
    <row r="84" spans="1:9" ht="18.75" customHeight="1" x14ac:dyDescent="0.35">
      <c r="A84" s="32" t="s">
        <v>162</v>
      </c>
      <c r="B84" s="82"/>
      <c r="C84" s="82"/>
      <c r="D84" s="82"/>
      <c r="E84" s="82"/>
      <c r="F84" s="82"/>
      <c r="G84" s="82"/>
      <c r="H84" s="42"/>
      <c r="I84" s="42"/>
    </row>
    <row r="85" spans="1:9" x14ac:dyDescent="0.35">
      <c r="A85" s="30" t="s">
        <v>163</v>
      </c>
      <c r="B85" s="40">
        <f>'Non-OECD Americas 1995'!$K13/IF(('Non-OECD Americas 1995'!$K13+'Non-OECD Americas 1995'!$K14)=0,1,('Non-OECD Americas 1995'!$K13+'Non-OECD Americas 1995'!$K14))</f>
        <v>0</v>
      </c>
      <c r="C85" s="40">
        <f>'Non-OECD Americas 2000'!$K13/IF(('Non-OECD Americas 2000'!$K13+'Non-OECD Americas 2000'!$K14)=0,1,('Non-OECD Americas 2000'!$K13+'Non-OECD Americas 2000'!$K14))</f>
        <v>0</v>
      </c>
      <c r="D85" s="40">
        <f>'Non-OECD Americas 2005'!$K13/IF(('Non-OECD Americas 2005'!$K13+'Non-OECD Americas 2005'!$K14)=0,1,('Non-OECD Americas 2005'!$K13+'Non-OECD Americas 2005'!$K14))</f>
        <v>0</v>
      </c>
      <c r="E85" s="40">
        <f>'Non-OECD Americas 2010'!$K13/IF(('Non-OECD Americas 2010'!$K13+'Non-OECD Americas 2010'!$K14)=0,1,('Non-OECD Americas 2010'!$K13+'Non-OECD Americas 2010'!$K14))</f>
        <v>0</v>
      </c>
      <c r="F85" s="40">
        <f>'Non-OECD Americas 2015'!$K13/IF(('Non-OECD Americas 2015'!$K13+'Non-OECD Americas 2015'!$K14)=0,1,('Non-OECD Americas 2015'!$K13+'Non-OECD Americas 2015'!$K14))</f>
        <v>0</v>
      </c>
      <c r="G85" s="40">
        <f>'Non-OECD Americas 2018'!$K13/IF(('Non-OECD Americas 2018'!$K13+'Non-OECD Americas 2018'!$K14)=0,1,('Non-OECD Americas 2018'!$K13+'Non-OECD Americas 2018'!$K14))</f>
        <v>0</v>
      </c>
      <c r="H85" s="89">
        <f>1-H86</f>
        <v>1</v>
      </c>
      <c r="I85" s="89">
        <f>1-I86</f>
        <v>1</v>
      </c>
    </row>
    <row r="86" spans="1:9" x14ac:dyDescent="0.35">
      <c r="A86" s="30" t="s">
        <v>164</v>
      </c>
      <c r="B86" s="40">
        <f>'Non-OECD Americas 1995'!$K14/IF(('Non-OECD Americas 1995'!$K13+'Non-OECD Americas 1995'!$K14)=0,1,('Non-OECD Americas 1995'!$K13+'Non-OECD Americas 1995'!$K14))</f>
        <v>0</v>
      </c>
      <c r="C86" s="40">
        <f>'Non-OECD Americas 2000'!$K14/IF(('Non-OECD Americas 2000'!$K13+'Non-OECD Americas 2000'!$K14)=0,1,('Non-OECD Americas 2000'!$K13+'Non-OECD Americas 2000'!$K14))</f>
        <v>0</v>
      </c>
      <c r="D86" s="40">
        <f>'Non-OECD Americas 2005'!$K14/IF(('Non-OECD Americas 2005'!$K13+'Non-OECD Americas 2005'!$K14)=0,1,('Non-OECD Americas 2005'!$K13+'Non-OECD Americas 2005'!$K14))</f>
        <v>0</v>
      </c>
      <c r="E86" s="40">
        <f>'Non-OECD Americas 2010'!$K14/IF(('Non-OECD Americas 2010'!$K13+'Non-OECD Americas 2010'!$K14)=0,1,('Non-OECD Americas 2010'!$K13+'Non-OECD Americas 2010'!$K14))</f>
        <v>0</v>
      </c>
      <c r="F86" s="40">
        <f>'Non-OECD Americas 2015'!$K14/IF(('Non-OECD Americas 2015'!$K13+'Non-OECD Americas 2015'!$K14)=0,1,('Non-OECD Americas 2015'!$K13+'Non-OECD Americas 2015'!$K14))</f>
        <v>0</v>
      </c>
      <c r="G86" s="40">
        <f>'Non-OECD Americas 2018'!$K14/IF(('Non-OECD Americas 2018'!$K13+'Non-OECD Americas 2018'!$K14)=0,1,('Non-OECD Americas 2018'!$K13+'Non-OECD Americas 2018'!$K14))</f>
        <v>0</v>
      </c>
      <c r="H86" s="77">
        <f t="shared" si="1"/>
        <v>0</v>
      </c>
      <c r="I86" s="77">
        <f t="shared" si="1"/>
        <v>0</v>
      </c>
    </row>
    <row r="87" spans="1:9" x14ac:dyDescent="0.35">
      <c r="A87" s="32" t="s">
        <v>165</v>
      </c>
      <c r="B87" s="82"/>
      <c r="C87" s="82"/>
      <c r="D87" s="82"/>
      <c r="E87" s="82"/>
      <c r="F87" s="82"/>
      <c r="G87" s="82"/>
      <c r="H87" s="42"/>
      <c r="I87" s="42"/>
    </row>
    <row r="88" spans="1:9" x14ac:dyDescent="0.35">
      <c r="A88" s="30" t="s">
        <v>166</v>
      </c>
      <c r="B88" s="40">
        <f>'Non-OECD Americas 1995'!$J14/IF('Non-OECD Americas 1995'!$K14=0,1,'Non-OECD Americas 1995'!$K14)*-1</f>
        <v>0</v>
      </c>
      <c r="C88" s="40">
        <f>'Non-OECD Americas 2000'!$J14/IF('Non-OECD Americas 2000'!$K14=0,1,'Non-OECD Americas 2000'!$K14)*-1</f>
        <v>0</v>
      </c>
      <c r="D88" s="40">
        <f>'Non-OECD Americas 2005'!$J14/IF('Non-OECD Americas 2005'!$K14=0,1,'Non-OECD Americas 2005'!$K14)*-1</f>
        <v>0</v>
      </c>
      <c r="E88" s="40">
        <f>'Non-OECD Americas 2010'!$J14/IF('Non-OECD Americas 2010'!$K14=0,1,'Non-OECD Americas 2010'!$K14)*-1</f>
        <v>0</v>
      </c>
      <c r="F88" s="40">
        <f>'Non-OECD Americas 2015'!$J14/IF('Non-OECD Americas 2015'!$K14=0,1,'Non-OECD Americas 2015'!$K14)*-1</f>
        <v>0</v>
      </c>
      <c r="G88" s="40">
        <f>'Non-OECD Americas 2018'!$J14/IF('Non-OECD Americas 2018'!$K14=0,1,'Non-OECD Americas 2018'!$K14)*-1</f>
        <v>0</v>
      </c>
      <c r="H88" s="77">
        <f t="shared" si="1"/>
        <v>0</v>
      </c>
      <c r="I88" s="77">
        <f t="shared" si="1"/>
        <v>0</v>
      </c>
    </row>
    <row r="89" spans="1:9" ht="18.75" customHeight="1" x14ac:dyDescent="0.35">
      <c r="A89" s="32" t="s">
        <v>167</v>
      </c>
      <c r="B89" s="82"/>
      <c r="C89" s="82"/>
      <c r="D89" s="82"/>
      <c r="E89" s="82"/>
      <c r="F89" s="82"/>
      <c r="G89" s="82"/>
      <c r="H89" s="42"/>
      <c r="I89" s="42"/>
    </row>
    <row r="90" spans="1:9" x14ac:dyDescent="0.35">
      <c r="A90" s="30" t="s">
        <v>168</v>
      </c>
      <c r="B90" s="34">
        <f>'Non-OECD Americas 1995'!$J13/IF('Non-OECD Americas 1995'!$K13=0,1,'Non-OECD Americas 1995'!$K13)</f>
        <v>960</v>
      </c>
      <c r="C90" s="34">
        <f>'Non-OECD Americas 2000'!$J13/IF('Non-OECD Americas 2000'!$K13=0,1,'Non-OECD Americas 2000'!$K13)</f>
        <v>1494</v>
      </c>
      <c r="D90" s="34">
        <f>'Non-OECD Americas 2005'!$J13/IF('Non-OECD Americas 2005'!$K13=0,1,'Non-OECD Americas 2005'!$K13)</f>
        <v>2219</v>
      </c>
      <c r="E90" s="34">
        <f>'Non-OECD Americas 2010'!$J13/IF('Non-OECD Americas 2010'!$K13=0,1,'Non-OECD Americas 2010'!$K13)</f>
        <v>4433</v>
      </c>
      <c r="F90" s="34">
        <f>'Non-OECD Americas 2015'!$J13/IF('Non-OECD Americas 2015'!$K13=0,1,'Non-OECD Americas 2015'!$K13)</f>
        <v>6473</v>
      </c>
      <c r="G90" s="34">
        <f>'Non-OECD Americas 2018'!$J13/IF('Non-OECD Americas 2018'!$K13=0,1,'Non-OECD Americas 2018'!$K13)</f>
        <v>7003</v>
      </c>
      <c r="H90" s="78">
        <f t="shared" si="1"/>
        <v>7003</v>
      </c>
      <c r="I90" s="78">
        <f t="shared" si="1"/>
        <v>7003</v>
      </c>
    </row>
    <row r="91" spans="1:9" ht="18.75" customHeight="1" x14ac:dyDescent="0.35">
      <c r="A91" s="32" t="s">
        <v>169</v>
      </c>
      <c r="B91" s="82"/>
      <c r="C91" s="82"/>
      <c r="D91" s="82"/>
      <c r="E91" s="82"/>
      <c r="F91" s="82"/>
      <c r="G91" s="82"/>
      <c r="H91" s="33"/>
      <c r="I91" s="33"/>
    </row>
    <row r="92" spans="1:9" x14ac:dyDescent="0.35">
      <c r="A92" s="30" t="s">
        <v>170</v>
      </c>
      <c r="B92" s="40">
        <v>1</v>
      </c>
      <c r="C92" s="40">
        <v>1</v>
      </c>
      <c r="D92" s="40">
        <v>1</v>
      </c>
      <c r="E92" s="40">
        <v>1</v>
      </c>
      <c r="F92" s="40">
        <v>1</v>
      </c>
      <c r="G92" s="40">
        <v>1</v>
      </c>
      <c r="H92" s="77">
        <f t="shared" si="1"/>
        <v>1</v>
      </c>
      <c r="I92" s="77">
        <f t="shared" si="1"/>
        <v>1</v>
      </c>
    </row>
    <row r="93" spans="1:9" x14ac:dyDescent="0.35">
      <c r="A93" s="32" t="s">
        <v>171</v>
      </c>
      <c r="B93" s="82"/>
      <c r="C93" s="82"/>
      <c r="D93" s="82"/>
      <c r="E93" s="82"/>
      <c r="F93" s="82"/>
      <c r="G93" s="82"/>
      <c r="H93" s="42"/>
      <c r="I93" s="42"/>
    </row>
    <row r="94" spans="1:9" x14ac:dyDescent="0.35">
      <c r="A94" s="30" t="s">
        <v>172</v>
      </c>
      <c r="B94" s="40">
        <f>'Non-OECD Americas 1995'!$G12/'Non-OECD Americas 1995'!$J12*-1</f>
        <v>0.74194985856550544</v>
      </c>
      <c r="C94" s="40">
        <f>'Non-OECD Americas 2000'!$G12/'Non-OECD Americas 2000'!$J12*-1</f>
        <v>0.71397155156279246</v>
      </c>
      <c r="D94" s="40">
        <f>'Non-OECD Americas 2005'!$G12/'Non-OECD Americas 2005'!$J12*-1</f>
        <v>0.6920996036952376</v>
      </c>
      <c r="E94" s="40">
        <f>'Non-OECD Americas 2010'!$G12/'Non-OECD Americas 2010'!$J12*-1</f>
        <v>0.65994061893342471</v>
      </c>
      <c r="F94" s="40">
        <f>'Non-OECD Americas 2015'!$G12/'Non-OECD Americas 2015'!$J12*-1</f>
        <v>0.56165816792962642</v>
      </c>
      <c r="G94" s="40">
        <f>'Non-OECD Americas 2018'!$G12/'Non-OECD Americas 2018'!$J12*-1</f>
        <v>0.60600795200179891</v>
      </c>
      <c r="H94" s="77">
        <f t="shared" si="1"/>
        <v>0.60600795200179891</v>
      </c>
      <c r="I94" s="77">
        <f t="shared" si="1"/>
        <v>0.60600795200179891</v>
      </c>
    </row>
    <row r="95" spans="1:9" x14ac:dyDescent="0.35">
      <c r="A95" s="30" t="s">
        <v>145</v>
      </c>
      <c r="B95" s="40">
        <f>'Non-OECD Americas 1995'!$H12/'Non-OECD Americas 1995'!$J12*-1</f>
        <v>1.7417754872708954E-2</v>
      </c>
      <c r="C95" s="40">
        <f>'Non-OECD Americas 2000'!$H12/'Non-OECD Americas 2000'!$J12*-1</f>
        <v>2.2662050034312809E-2</v>
      </c>
      <c r="D95" s="40">
        <f>'Non-OECD Americas 2005'!$H12/'Non-OECD Americas 2005'!$J12*-1</f>
        <v>2.9459104865215805E-2</v>
      </c>
      <c r="E95" s="40">
        <f>'Non-OECD Americas 2010'!$H12/'Non-OECD Americas 2010'!$J12*-1</f>
        <v>3.4909215484755056E-2</v>
      </c>
      <c r="F95" s="40">
        <f>'Non-OECD Americas 2015'!$H12/'Non-OECD Americas 2015'!$J12*-1</f>
        <v>6.0093858562054327E-2</v>
      </c>
      <c r="G95" s="40">
        <f>'Non-OECD Americas 2018'!$H12/'Non-OECD Americas 2018'!$J12*-1</f>
        <v>9.5250263192861589E-2</v>
      </c>
      <c r="H95" s="77">
        <f t="shared" si="1"/>
        <v>9.5250263192861589E-2</v>
      </c>
      <c r="I95" s="77">
        <f t="shared" si="1"/>
        <v>9.5250263192861589E-2</v>
      </c>
    </row>
    <row r="96" spans="1:9" x14ac:dyDescent="0.35">
      <c r="A96" s="30" t="s">
        <v>173</v>
      </c>
      <c r="B96" s="40">
        <f t="shared" ref="B96:G96" si="2">1-B94-B95</f>
        <v>0.24063238656178559</v>
      </c>
      <c r="C96" s="40">
        <f t="shared" si="2"/>
        <v>0.26336639840289472</v>
      </c>
      <c r="D96" s="40">
        <f t="shared" si="2"/>
        <v>0.2784412914395466</v>
      </c>
      <c r="E96" s="40">
        <f t="shared" si="2"/>
        <v>0.30515016558182023</v>
      </c>
      <c r="F96" s="40">
        <f t="shared" si="2"/>
        <v>0.37824797350831924</v>
      </c>
      <c r="G96" s="40">
        <f t="shared" si="2"/>
        <v>0.29874178480533953</v>
      </c>
      <c r="H96" s="89">
        <f>1-H95-H94</f>
        <v>0.29874178480533953</v>
      </c>
      <c r="I96" s="89">
        <f>1-I95-I94</f>
        <v>0.29874178480533953</v>
      </c>
    </row>
    <row r="97" spans="1:9" x14ac:dyDescent="0.35">
      <c r="A97" s="32" t="s">
        <v>174</v>
      </c>
      <c r="B97" s="82"/>
      <c r="C97" s="82"/>
      <c r="D97" s="82"/>
      <c r="E97" s="82"/>
      <c r="F97" s="82"/>
      <c r="G97" s="82"/>
      <c r="H97" s="42"/>
      <c r="I97" s="42"/>
    </row>
    <row r="98" spans="1:9" x14ac:dyDescent="0.35">
      <c r="A98" s="30" t="s">
        <v>145</v>
      </c>
      <c r="B98" s="40">
        <f>'Non-OECD Americas 1995'!$H13/IF(('Non-OECD Americas 1995'!$J13+'Non-OECD Americas 1995'!$K13)=0,1,('Non-OECD Americas 1995'!$J13+'Non-OECD Americas 1995'!$K13))*-1</f>
        <v>0</v>
      </c>
      <c r="C98" s="40">
        <f>'Non-OECD Americas 2000'!$H13/IF(('Non-OECD Americas 2000'!$J13+'Non-OECD Americas 2000'!$K13)=0,1,('Non-OECD Americas 2000'!$J13+'Non-OECD Americas 2000'!$K13))*-1</f>
        <v>0</v>
      </c>
      <c r="D98" s="40">
        <f>'Non-OECD Americas 2005'!$H13/IF(('Non-OECD Americas 2005'!$J13+'Non-OECD Americas 2005'!$K13)=0,1,('Non-OECD Americas 2005'!$J13+'Non-OECD Americas 2005'!$K13))*-1</f>
        <v>0</v>
      </c>
      <c r="E98" s="40">
        <f>'Non-OECD Americas 2010'!$H13/IF(('Non-OECD Americas 2010'!$J13+'Non-OECD Americas 2010'!$K13)=0,1,('Non-OECD Americas 2010'!$J13+'Non-OECD Americas 2010'!$K13))*-1</f>
        <v>0</v>
      </c>
      <c r="F98" s="40">
        <f>'Non-OECD Americas 2015'!$H13/IF(('Non-OECD Americas 2015'!$J13+'Non-OECD Americas 2015'!$K13)=0,1,('Non-OECD Americas 2015'!$J13+'Non-OECD Americas 2015'!$K13))*-1</f>
        <v>0</v>
      </c>
      <c r="G98" s="40">
        <f>'Non-OECD Americas 2018'!$H13/IF(('Non-OECD Americas 2018'!$J13+'Non-OECD Americas 2018'!$K13)=0,1,('Non-OECD Americas 2018'!$J13+'Non-OECD Americas 2018'!$K13))*-1</f>
        <v>0</v>
      </c>
      <c r="H98" s="77">
        <f t="shared" si="1"/>
        <v>0</v>
      </c>
      <c r="I98" s="77">
        <f t="shared" si="1"/>
        <v>0</v>
      </c>
    </row>
    <row r="99" spans="1:9" x14ac:dyDescent="0.35">
      <c r="A99" s="30" t="s">
        <v>173</v>
      </c>
      <c r="B99" s="40">
        <f t="shared" ref="B99:G99" si="3">1-B98</f>
        <v>1</v>
      </c>
      <c r="C99" s="40">
        <f t="shared" si="3"/>
        <v>1</v>
      </c>
      <c r="D99" s="40">
        <f t="shared" si="3"/>
        <v>1</v>
      </c>
      <c r="E99" s="40">
        <f t="shared" si="3"/>
        <v>1</v>
      </c>
      <c r="F99" s="40">
        <f t="shared" si="3"/>
        <v>1</v>
      </c>
      <c r="G99" s="40">
        <f t="shared" si="3"/>
        <v>1</v>
      </c>
      <c r="H99" s="89">
        <f>1-H98</f>
        <v>1</v>
      </c>
      <c r="I99" s="89">
        <f>1-I98</f>
        <v>1</v>
      </c>
    </row>
    <row r="100" spans="1:9" x14ac:dyDescent="0.35">
      <c r="A100" s="32" t="s">
        <v>175</v>
      </c>
      <c r="B100" s="82"/>
      <c r="C100" s="82"/>
      <c r="D100" s="82"/>
      <c r="E100" s="82"/>
      <c r="F100" s="82"/>
      <c r="G100" s="82"/>
      <c r="H100" s="42"/>
      <c r="I100" s="42"/>
    </row>
    <row r="101" spans="1:9" x14ac:dyDescent="0.35">
      <c r="A101" s="30" t="s">
        <v>145</v>
      </c>
      <c r="B101" s="40">
        <f>'Non-OECD Americas 1995'!$H14/IF('Non-OECD Americas 1995'!$K14=0,1,'Non-OECD Americas 1995'!$K14)*-1</f>
        <v>0</v>
      </c>
      <c r="C101" s="40">
        <f>'Non-OECD Americas 2000'!$H14/IF('Non-OECD Americas 2000'!$K14=0,1,'Non-OECD Americas 2000'!$K14)*-1</f>
        <v>0</v>
      </c>
      <c r="D101" s="40">
        <f>'Non-OECD Americas 2005'!$H14/IF('Non-OECD Americas 2005'!$K14=0,1,'Non-OECD Americas 2005'!$K14)*-1</f>
        <v>0</v>
      </c>
      <c r="E101" s="40">
        <f>'Non-OECD Americas 2010'!$H14/IF('Non-OECD Americas 2010'!$K14=0,1,'Non-OECD Americas 2010'!$K14)*-1</f>
        <v>0</v>
      </c>
      <c r="F101" s="40">
        <f>'Non-OECD Americas 2015'!$H14/IF('Non-OECD Americas 2015'!$K14=0,1,'Non-OECD Americas 2015'!$K14)*-1</f>
        <v>0</v>
      </c>
      <c r="G101" s="40">
        <f>'Non-OECD Americas 2018'!$H14/IF('Non-OECD Americas 2018'!$K14=0,1,'Non-OECD Americas 2018'!$K14)*-1</f>
        <v>0</v>
      </c>
      <c r="H101" s="77">
        <f t="shared" si="1"/>
        <v>0</v>
      </c>
      <c r="I101" s="77">
        <f t="shared" si="1"/>
        <v>0</v>
      </c>
    </row>
    <row r="102" spans="1:9" x14ac:dyDescent="0.35">
      <c r="A102" s="30" t="s">
        <v>173</v>
      </c>
      <c r="B102" s="40">
        <f t="shared" ref="B102:G102" si="4">1-B101</f>
        <v>1</v>
      </c>
      <c r="C102" s="40">
        <f t="shared" si="4"/>
        <v>1</v>
      </c>
      <c r="D102" s="40">
        <f t="shared" si="4"/>
        <v>1</v>
      </c>
      <c r="E102" s="40">
        <f t="shared" si="4"/>
        <v>1</v>
      </c>
      <c r="F102" s="40">
        <f t="shared" si="4"/>
        <v>1</v>
      </c>
      <c r="G102" s="40">
        <f t="shared" si="4"/>
        <v>1</v>
      </c>
      <c r="H102" s="89">
        <f>1-H101</f>
        <v>1</v>
      </c>
      <c r="I102" s="89">
        <f>1-I101</f>
        <v>1</v>
      </c>
    </row>
    <row r="103" spans="1:9" x14ac:dyDescent="0.35">
      <c r="A103" s="31" t="s">
        <v>176</v>
      </c>
      <c r="B103" s="81"/>
      <c r="C103" s="81"/>
      <c r="D103" s="81"/>
      <c r="E103" s="81"/>
      <c r="F103" s="81"/>
      <c r="G103" s="81"/>
      <c r="H103" s="42"/>
      <c r="I103" s="42"/>
    </row>
    <row r="104" spans="1:9" x14ac:dyDescent="0.35">
      <c r="A104" s="30" t="s">
        <v>177</v>
      </c>
      <c r="B104" s="40">
        <f>('Non-OECD Americas 1995'!$J12+'Non-OECD Americas 1995'!$G12+'Non-OECD Americas 1995'!$H12)/('Non-OECD Americas 1995'!$B12+'Non-OECD Americas 1995'!$D12+'Non-OECD Americas 1995'!$E12+'Non-OECD Americas 1995'!$F12+'Non-OECD Americas 1995'!$I12)*-1</f>
        <v>0.34665624651110866</v>
      </c>
      <c r="C104" s="40">
        <f>('Non-OECD Americas 2000'!$J12+'Non-OECD Americas 2000'!$G12+'Non-OECD Americas 2000'!$H12)/('Non-OECD Americas 2000'!$B12+'Non-OECD Americas 2000'!$D12+'Non-OECD Americas 2000'!$E12+'Non-OECD Americas 2000'!$F12+'Non-OECD Americas 2000'!$I12)*-1</f>
        <v>0.36762240654866873</v>
      </c>
      <c r="D104" s="40">
        <f>('Non-OECD Americas 2005'!$J12+'Non-OECD Americas 2005'!$G12+'Non-OECD Americas 2005'!$H12)/('Non-OECD Americas 2005'!$B12+'Non-OECD Americas 2005'!$D12+'Non-OECD Americas 2005'!$E12+'Non-OECD Americas 2005'!$F12+'Non-OECD Americas 2005'!$I12)*-1</f>
        <v>0.36583025305658229</v>
      </c>
      <c r="E104" s="40">
        <f>('Non-OECD Americas 2010'!$J12+'Non-OECD Americas 2010'!$G12+'Non-OECD Americas 2010'!$H12)/('Non-OECD Americas 2010'!$B12+'Non-OECD Americas 2010'!$D12+'Non-OECD Americas 2010'!$E12+'Non-OECD Americas 2010'!$F12+'Non-OECD Americas 2010'!$I12)*-1</f>
        <v>0.36737331243641563</v>
      </c>
      <c r="F104" s="40">
        <f>('Non-OECD Americas 2015'!$J12+'Non-OECD Americas 2015'!$G12+'Non-OECD Americas 2015'!$H12)/('Non-OECD Americas 2015'!$B12+'Non-OECD Americas 2015'!$D12+'Non-OECD Americas 2015'!$E12+'Non-OECD Americas 2015'!$F12+'Non-OECD Americas 2015'!$I12)*-1</f>
        <v>0.37809818754124996</v>
      </c>
      <c r="G104" s="40">
        <f>('Non-OECD Americas 2018'!$J12+'Non-OECD Americas 2018'!$G12+'Non-OECD Americas 2018'!$H12)/('Non-OECD Americas 2018'!$B12+'Non-OECD Americas 2018'!$D12+'Non-OECD Americas 2018'!$E12+'Non-OECD Americas 2018'!$F12+'Non-OECD Americas 2018'!$I12)*-1</f>
        <v>0.35892083062149249</v>
      </c>
      <c r="H104" s="77">
        <f t="shared" si="1"/>
        <v>0.35892083062149249</v>
      </c>
      <c r="I104" s="77">
        <f t="shared" si="1"/>
        <v>0.35892083062149249</v>
      </c>
    </row>
    <row r="105" spans="1:9" x14ac:dyDescent="0.35">
      <c r="A105" s="30" t="s">
        <v>163</v>
      </c>
      <c r="B105" s="40">
        <f>('Non-OECD Americas 1995'!$J13+'Non-OECD Americas 1995'!$K13+'Non-OECD Americas 1995'!$H13)/IF(('Non-OECD Americas 1995'!$B13+'Non-OECD Americas 1995'!$D13+'Non-OECD Americas 1995'!$E13+'Non-OECD Americas 1995'!$F13+'Non-OECD Americas 1995'!$I13)=0,1,('Non-OECD Americas 1995'!$B13+'Non-OECD Americas 1995'!$D13+'Non-OECD Americas 1995'!$E13+'Non-OECD Americas 1995'!$F13+'Non-OECD Americas 1995'!$I13))*-1</f>
        <v>0.39933444259567386</v>
      </c>
      <c r="C105" s="40">
        <f>('Non-OECD Americas 2000'!$J13+'Non-OECD Americas 2000'!$K13+'Non-OECD Americas 2000'!$H13)/IF(('Non-OECD Americas 2000'!$B13+'Non-OECD Americas 2000'!$D13+'Non-OECD Americas 2000'!$E13+'Non-OECD Americas 2000'!$F13+'Non-OECD Americas 2000'!$I13)=0,1,('Non-OECD Americas 2000'!$B13+'Non-OECD Americas 2000'!$D13+'Non-OECD Americas 2000'!$E13+'Non-OECD Americas 2000'!$F13+'Non-OECD Americas 2000'!$I13))*-1</f>
        <v>0.38654592496765849</v>
      </c>
      <c r="D105" s="40">
        <f>('Non-OECD Americas 2005'!$J13+'Non-OECD Americas 2005'!$K13+'Non-OECD Americas 2005'!$H13)/IF(('Non-OECD Americas 2005'!$B13+'Non-OECD Americas 2005'!$D13+'Non-OECD Americas 2005'!$E13+'Non-OECD Americas 2005'!$F13+'Non-OECD Americas 2005'!$I13)=0,1,('Non-OECD Americas 2005'!$B13+'Non-OECD Americas 2005'!$D13+'Non-OECD Americas 2005'!$E13+'Non-OECD Americas 2005'!$F13+'Non-OECD Americas 2005'!$I13))*-1</f>
        <v>0.39989187240944313</v>
      </c>
      <c r="E105" s="40">
        <f>('Non-OECD Americas 2010'!$J13+'Non-OECD Americas 2010'!$K13+'Non-OECD Americas 2010'!$H13)/IF(('Non-OECD Americas 2010'!$B13+'Non-OECD Americas 2010'!$D13+'Non-OECD Americas 2010'!$E13+'Non-OECD Americas 2010'!$F13+'Non-OECD Americas 2010'!$I13)=0,1,('Non-OECD Americas 2010'!$B13+'Non-OECD Americas 2010'!$D13+'Non-OECD Americas 2010'!$E13+'Non-OECD Americas 2010'!$F13+'Non-OECD Americas 2010'!$I13))*-1</f>
        <v>0.43160354395871875</v>
      </c>
      <c r="F105" s="40">
        <f>('Non-OECD Americas 2015'!$J13+'Non-OECD Americas 2015'!$K13+'Non-OECD Americas 2015'!$H13)/IF(('Non-OECD Americas 2015'!$B13+'Non-OECD Americas 2015'!$D13+'Non-OECD Americas 2015'!$E13+'Non-OECD Americas 2015'!$F13+'Non-OECD Americas 2015'!$I13)=0,1,('Non-OECD Americas 2015'!$B13+'Non-OECD Americas 2015'!$D13+'Non-OECD Americas 2015'!$E13+'Non-OECD Americas 2015'!$F13+'Non-OECD Americas 2015'!$I13))*-1</f>
        <v>0.45186736474694589</v>
      </c>
      <c r="G105" s="40">
        <f>('Non-OECD Americas 2018'!$J13+'Non-OECD Americas 2018'!$K13+'Non-OECD Americas 2018'!$H13)/IF(('Non-OECD Americas 2018'!$B13+'Non-OECD Americas 2018'!$D13+'Non-OECD Americas 2018'!$E13+'Non-OECD Americas 2018'!$F13+'Non-OECD Americas 2018'!$I13)=0,1,('Non-OECD Americas 2018'!$B13+'Non-OECD Americas 2018'!$D13+'Non-OECD Americas 2018'!$E13+'Non-OECD Americas 2018'!$F13+'Non-OECD Americas 2018'!$I13))*-1</f>
        <v>0.46959029035070071</v>
      </c>
      <c r="H105" s="77">
        <f t="shared" si="1"/>
        <v>0.46959029035070071</v>
      </c>
      <c r="I105" s="77">
        <f t="shared" si="1"/>
        <v>0.46959029035070071</v>
      </c>
    </row>
    <row r="106" spans="1:9" x14ac:dyDescent="0.35">
      <c r="A106" s="30" t="s">
        <v>178</v>
      </c>
      <c r="B106" s="40">
        <f>('Non-OECD Americas 1995'!$K14+'Non-OECD Americas 1995'!$H14)/IF(('Non-OECD Americas 1995'!$B14+'Non-OECD Americas 1995'!$D14+'Non-OECD Americas 1995'!$E14+'Non-OECD Americas 1995'!$I14)=0,1,('Non-OECD Americas 1995'!$B14+'Non-OECD Americas 1995'!$D14+'Non-OECD Americas 1995'!$E14+'Non-OECD Americas 1995'!$I14))*-1</f>
        <v>0</v>
      </c>
      <c r="C106" s="40">
        <f>('Non-OECD Americas 2000'!$K14+'Non-OECD Americas 2000'!$H14)/IF(('Non-OECD Americas 2000'!$B14+'Non-OECD Americas 2000'!$D14+'Non-OECD Americas 2000'!$E14+'Non-OECD Americas 2000'!$I14)=0,1,('Non-OECD Americas 2000'!$B14+'Non-OECD Americas 2000'!$D14+'Non-OECD Americas 2000'!$E14+'Non-OECD Americas 2000'!$I14))*-1</f>
        <v>0</v>
      </c>
      <c r="D106" s="40">
        <f>('Non-OECD Americas 2005'!$K14+'Non-OECD Americas 2005'!$H14)/IF(('Non-OECD Americas 2005'!$B14+'Non-OECD Americas 2005'!$D14+'Non-OECD Americas 2005'!$E14+'Non-OECD Americas 2005'!$I14)=0,1,('Non-OECD Americas 2005'!$B14+'Non-OECD Americas 2005'!$D14+'Non-OECD Americas 2005'!$E14+'Non-OECD Americas 2005'!$I14))*-1</f>
        <v>0</v>
      </c>
      <c r="E106" s="40">
        <f>('Non-OECD Americas 2010'!$K14+'Non-OECD Americas 2010'!$H14)/IF(('Non-OECD Americas 2010'!$B14+'Non-OECD Americas 2010'!$D14+'Non-OECD Americas 2010'!$E14+'Non-OECD Americas 2010'!$I14)=0,1,('Non-OECD Americas 2010'!$B14+'Non-OECD Americas 2010'!$D14+'Non-OECD Americas 2010'!$E14+'Non-OECD Americas 2010'!$I14))*-1</f>
        <v>0</v>
      </c>
      <c r="F106" s="40">
        <f>('Non-OECD Americas 2015'!$K14+'Non-OECD Americas 2015'!$H14)/IF(('Non-OECD Americas 2015'!$B14+'Non-OECD Americas 2015'!$D14+'Non-OECD Americas 2015'!$E14+'Non-OECD Americas 2015'!$I14)=0,1,('Non-OECD Americas 2015'!$B14+'Non-OECD Americas 2015'!$D14+'Non-OECD Americas 2015'!$E14+'Non-OECD Americas 2015'!$I14))*-1</f>
        <v>0</v>
      </c>
      <c r="G106" s="40">
        <f>('Non-OECD Americas 2018'!$K14+'Non-OECD Americas 2018'!$H14)/IF(('Non-OECD Americas 2018'!$B14+'Non-OECD Americas 2018'!$D14+'Non-OECD Americas 2018'!$E14+'Non-OECD Americas 2018'!$I14)=0,1,('Non-OECD Americas 2018'!$B14+'Non-OECD Americas 2018'!$D14+'Non-OECD Americas 2018'!$E14+'Non-OECD Americas 2018'!$I14))*-1</f>
        <v>0</v>
      </c>
      <c r="H106" s="77">
        <f t="shared" si="1"/>
        <v>0</v>
      </c>
      <c r="I106" s="77">
        <f t="shared" si="1"/>
        <v>0</v>
      </c>
    </row>
    <row r="107" spans="1:9" x14ac:dyDescent="0.35">
      <c r="A107" s="30" t="s">
        <v>170</v>
      </c>
      <c r="B107" s="40">
        <f>'Non-OECD Americas 1995'!$D16/IF('Non-OECD Americas 1995'!$C16=0,1,'Non-OECD Americas 1995'!$C16)*-1</f>
        <v>0.96676082461544288</v>
      </c>
      <c r="C107" s="40">
        <f>'Non-OECD Americas 2000'!$D16/IF('Non-OECD Americas 2000'!$C16=0,1,'Non-OECD Americas 2000'!$C16)*-1</f>
        <v>0.98375489819140716</v>
      </c>
      <c r="D107" s="40">
        <f>'Non-OECD Americas 2005'!$D16/IF('Non-OECD Americas 2005'!$C16=0,1,'Non-OECD Americas 2005'!$C16)*-1</f>
        <v>0.96510595741546856</v>
      </c>
      <c r="E107" s="40">
        <f>'Non-OECD Americas 2010'!$D16/IF('Non-OECD Americas 2010'!$C16=0,1,'Non-OECD Americas 2010'!$C16)*-1</f>
        <v>0.96653654011140799</v>
      </c>
      <c r="F107" s="40">
        <f>'Non-OECD Americas 2015'!$D16/IF('Non-OECD Americas 2015'!$C16=0,1,'Non-OECD Americas 2015'!$C16)*-1</f>
        <v>0.96348481360778282</v>
      </c>
      <c r="G107" s="40">
        <f>'Non-OECD Americas 2018'!$D16/IF('Non-OECD Americas 2018'!$C16=0,1,'Non-OECD Americas 2018'!$C16)*-1</f>
        <v>0.97591723345148007</v>
      </c>
      <c r="H107" s="77">
        <f t="shared" si="1"/>
        <v>0.97591723345148007</v>
      </c>
      <c r="I107" s="77">
        <f t="shared" si="1"/>
        <v>0.97591723345148007</v>
      </c>
    </row>
    <row r="108" spans="1:9" x14ac:dyDescent="0.35">
      <c r="A108" s="32" t="s">
        <v>179</v>
      </c>
      <c r="B108" s="82"/>
      <c r="C108" s="82"/>
      <c r="D108" s="82"/>
      <c r="E108" s="82"/>
      <c r="F108" s="82"/>
      <c r="G108" s="82"/>
      <c r="H108" s="42"/>
      <c r="I108" s="42"/>
    </row>
    <row r="109" spans="1:9" x14ac:dyDescent="0.35">
      <c r="A109" s="30" t="s">
        <v>141</v>
      </c>
      <c r="B109" s="40">
        <f>'Non-OECD Americas 1995'!$B12/('Non-OECD Americas 1995'!$L12-'Non-OECD Americas 1995'!$J12-'Non-OECD Americas 1995'!$G12-'Non-OECD Americas 1995'!$H12)</f>
        <v>8.4624359009143446E-2</v>
      </c>
      <c r="C109" s="40">
        <f>'Non-OECD Americas 2000'!$B12/('Non-OECD Americas 2000'!$L12-'Non-OECD Americas 2000'!$J12-'Non-OECD Americas 2000'!$G12-'Non-OECD Americas 2000'!$H12)</f>
        <v>7.358148554084816E-2</v>
      </c>
      <c r="D109" s="40">
        <f>'Non-OECD Americas 2005'!$B12/('Non-OECD Americas 2005'!$L12-'Non-OECD Americas 2005'!$J12-'Non-OECD Americas 2005'!$G12-'Non-OECD Americas 2005'!$H12)</f>
        <v>6.3894095199500192E-2</v>
      </c>
      <c r="E109" s="40">
        <f>'Non-OECD Americas 2010'!$B12/('Non-OECD Americas 2010'!$L12-'Non-OECD Americas 2010'!$J12-'Non-OECD Americas 2010'!$G12-'Non-OECD Americas 2010'!$H12)</f>
        <v>5.9307027512752068E-2</v>
      </c>
      <c r="F109" s="40">
        <f>'Non-OECD Americas 2015'!$B12/('Non-OECD Americas 2015'!$L12-'Non-OECD Americas 2015'!$J12-'Non-OECD Americas 2015'!$G12-'Non-OECD Americas 2015'!$H12)</f>
        <v>8.366037623938552E-2</v>
      </c>
      <c r="G109" s="40">
        <f>'Non-OECD Americas 2018'!$B12/('Non-OECD Americas 2018'!$L12-'Non-OECD Americas 2018'!$J12-'Non-OECD Americas 2018'!$G12-'Non-OECD Americas 2018'!$H12)</f>
        <v>7.9254079254079249E-2</v>
      </c>
      <c r="H109" s="89">
        <f>1-H110-H111-H112-H113-H114</f>
        <v>8.0353834199988067E-2</v>
      </c>
      <c r="I109" s="89">
        <f>1-I110-I111-I112-I113-I114</f>
        <v>8.0353834199988067E-2</v>
      </c>
    </row>
    <row r="110" spans="1:9" x14ac:dyDescent="0.35">
      <c r="A110" s="30" t="s">
        <v>142</v>
      </c>
      <c r="B110" s="40">
        <f>'Non-OECD Americas 1995'!$C12/('Non-OECD Americas 1995'!$L12-'Non-OECD Americas 1995'!$J12-'Non-OECD Americas 1995'!$G12-'Non-OECD Americas 1995'!$H12)</f>
        <v>2.789158097512006E-2</v>
      </c>
      <c r="C110" s="40">
        <f>'Non-OECD Americas 2000'!$C12/('Non-OECD Americas 2000'!$L12-'Non-OECD Americas 2000'!$J12-'Non-OECD Americas 2000'!$G12-'Non-OECD Americas 2000'!$H12)</f>
        <v>3.0288339937610657E-2</v>
      </c>
      <c r="D110" s="40">
        <f>'Non-OECD Americas 2005'!$C12/('Non-OECD Americas 2005'!$L12-'Non-OECD Americas 2005'!$J12-'Non-OECD Americas 2005'!$G12-'Non-OECD Americas 2005'!$H12)</f>
        <v>4.7059419482295729E-2</v>
      </c>
      <c r="E110" s="40">
        <f>'Non-OECD Americas 2010'!$C12/('Non-OECD Americas 2010'!$L12-'Non-OECD Americas 2010'!$J12-'Non-OECD Americas 2010'!$G12-'Non-OECD Americas 2010'!$H12)</f>
        <v>3.7912625208129609E-2</v>
      </c>
      <c r="F110" s="40">
        <f>'Non-OECD Americas 2015'!$C12/('Non-OECD Americas 2015'!$L12-'Non-OECD Americas 2015'!$J12-'Non-OECD Americas 2015'!$G12-'Non-OECD Americas 2015'!$H12)</f>
        <v>2.5642799948595776E-2</v>
      </c>
      <c r="G110" s="40">
        <f>'Non-OECD Americas 2018'!$C12/('Non-OECD Americas 2018'!$L12-'Non-OECD Americas 2018'!$J12-'Non-OECD Americas 2018'!$G12-'Non-OECD Americas 2018'!$H12)</f>
        <v>2.5461717769410076E-2</v>
      </c>
      <c r="H110" s="77">
        <f t="shared" si="1"/>
        <v>2.5461717769410076E-2</v>
      </c>
      <c r="I110" s="77">
        <f t="shared" si="1"/>
        <v>2.5461717769410076E-2</v>
      </c>
    </row>
    <row r="111" spans="1:9" x14ac:dyDescent="0.35">
      <c r="A111" s="30" t="s">
        <v>143</v>
      </c>
      <c r="B111" s="40">
        <f>'Non-OECD Americas 1995'!$D12/('Non-OECD Americas 1995'!$L12-'Non-OECD Americas 1995'!$J12-'Non-OECD Americas 1995'!$G12-'Non-OECD Americas 1995'!$H12)</f>
        <v>0.39908294218194645</v>
      </c>
      <c r="C111" s="40">
        <f>'Non-OECD Americas 2000'!$D12/('Non-OECD Americas 2000'!$L12-'Non-OECD Americas 2000'!$J12-'Non-OECD Americas 2000'!$G12-'Non-OECD Americas 2000'!$H12)</f>
        <v>0.37916280246184975</v>
      </c>
      <c r="D111" s="40">
        <f>'Non-OECD Americas 2005'!$D12/('Non-OECD Americas 2005'!$L12-'Non-OECD Americas 2005'!$J12-'Non-OECD Americas 2005'!$G12-'Non-OECD Americas 2005'!$H12)</f>
        <v>0.3313746348547017</v>
      </c>
      <c r="E111" s="40">
        <f>'Non-OECD Americas 2010'!$D12/('Non-OECD Americas 2010'!$L12-'Non-OECD Americas 2010'!$J12-'Non-OECD Americas 2010'!$G12-'Non-OECD Americas 2010'!$H12)</f>
        <v>0.34820413880593071</v>
      </c>
      <c r="F111" s="40">
        <f>'Non-OECD Americas 2015'!$D12/('Non-OECD Americas 2015'!$L12-'Non-OECD Americas 2015'!$J12-'Non-OECD Americas 2015'!$G12-'Non-OECD Americas 2015'!$H12)</f>
        <v>0.29987445506578753</v>
      </c>
      <c r="G111" s="40">
        <f>'Non-OECD Americas 2018'!$D12/('Non-OECD Americas 2018'!$L12-'Non-OECD Americas 2018'!$J12-'Non-OECD Americas 2018'!$G12-'Non-OECD Americas 2018'!$H12)</f>
        <v>0.23122347737732354</v>
      </c>
      <c r="H111" s="77">
        <f t="shared" si="1"/>
        <v>0.23122347737732354</v>
      </c>
      <c r="I111" s="77">
        <f t="shared" si="1"/>
        <v>0.23122347737732354</v>
      </c>
    </row>
    <row r="112" spans="1:9" x14ac:dyDescent="0.35">
      <c r="A112" s="30" t="s">
        <v>241</v>
      </c>
      <c r="B112" s="40">
        <f>'Non-OECD Americas 1995'!$E12/('Non-OECD Americas 1995'!$L12-'Non-OECD Americas 1995'!$J12-'Non-OECD Americas 1995'!$G12-'Non-OECD Americas 1995'!$H12)</f>
        <v>0.39194725560951788</v>
      </c>
      <c r="C112" s="40">
        <f>'Non-OECD Americas 2000'!$E12/('Non-OECD Americas 2000'!$L12-'Non-OECD Americas 2000'!$J12-'Non-OECD Americas 2000'!$G12-'Non-OECD Americas 2000'!$H12)</f>
        <v>0.41775566984234042</v>
      </c>
      <c r="D112" s="40">
        <f>'Non-OECD Americas 2005'!$E12/('Non-OECD Americas 2005'!$L12-'Non-OECD Americas 2005'!$J12-'Non-OECD Americas 2005'!$G12-'Non-OECD Americas 2005'!$H12)</f>
        <v>0.44499603194704762</v>
      </c>
      <c r="E112" s="40">
        <f>'Non-OECD Americas 2010'!$E12/('Non-OECD Americas 2010'!$L12-'Non-OECD Americas 2010'!$J12-'Non-OECD Americas 2010'!$G12-'Non-OECD Americas 2010'!$H12)</f>
        <v>0.43157491344451199</v>
      </c>
      <c r="F112" s="40">
        <f>'Non-OECD Americas 2015'!$E12/('Non-OECD Americas 2015'!$L12-'Non-OECD Americas 2015'!$J12-'Non-OECD Americas 2015'!$G12-'Non-OECD Americas 2015'!$H12)</f>
        <v>0.48887395090896507</v>
      </c>
      <c r="G112" s="40">
        <f>'Non-OECD Americas 2018'!$E12/('Non-OECD Americas 2018'!$L12-'Non-OECD Americas 2018'!$J12-'Non-OECD Americas 2018'!$G12-'Non-OECD Americas 2018'!$H12)</f>
        <v>0.53358436435359513</v>
      </c>
      <c r="H112" s="77">
        <f t="shared" si="1"/>
        <v>0.53358436435359513</v>
      </c>
      <c r="I112" s="77">
        <f t="shared" si="1"/>
        <v>0.53358436435359513</v>
      </c>
    </row>
    <row r="113" spans="1:11" x14ac:dyDescent="0.35">
      <c r="A113" s="30" t="s">
        <v>180</v>
      </c>
      <c r="B113" s="40">
        <f>'Non-OECD Americas 1995'!$F12/('Non-OECD Americas 1995'!$L12-'Non-OECD Americas 1995'!$J12-'Non-OECD Americas 1995'!$G12-'Non-OECD Americas 1995'!$H12)</f>
        <v>6.7748324605909321E-2</v>
      </c>
      <c r="C113" s="40">
        <f>'Non-OECD Americas 2000'!$F12/('Non-OECD Americas 2000'!$L12-'Non-OECD Americas 2000'!$J12-'Non-OECD Americas 2000'!$G12-'Non-OECD Americas 2000'!$H12)</f>
        <v>6.7131776410083471E-2</v>
      </c>
      <c r="D113" s="40">
        <f>'Non-OECD Americas 2005'!$F12/('Non-OECD Americas 2005'!$L12-'Non-OECD Americas 2005'!$J12-'Non-OECD Americas 2005'!$G12-'Non-OECD Americas 2005'!$H12)</f>
        <v>7.3603160934096551E-2</v>
      </c>
      <c r="E113" s="40">
        <f>'Non-OECD Americas 2010'!$F12/('Non-OECD Americas 2010'!$L12-'Non-OECD Americas 2010'!$J12-'Non-OECD Americas 2010'!$G12-'Non-OECD Americas 2010'!$H12)</f>
        <v>7.4702011258820727E-2</v>
      </c>
      <c r="F113" s="40">
        <f>'Non-OECD Americas 2015'!$F12/('Non-OECD Americas 2015'!$L12-'Non-OECD Americas 2015'!$J12-'Non-OECD Americas 2015'!$G12-'Non-OECD Americas 2015'!$H12)</f>
        <v>5.608003242420348E-2</v>
      </c>
      <c r="G113" s="40">
        <f>'Non-OECD Americas 2018'!$F12/('Non-OECD Americas 2018'!$L12-'Non-OECD Americas 2018'!$J12-'Non-OECD Americas 2018'!$G12-'Non-OECD Americas 2018'!$H12)</f>
        <v>7.0312593389516467E-2</v>
      </c>
      <c r="H113" s="77">
        <f t="shared" si="1"/>
        <v>7.0312593389516467E-2</v>
      </c>
      <c r="I113" s="77">
        <f t="shared" si="1"/>
        <v>7.0312593389516467E-2</v>
      </c>
    </row>
    <row r="114" spans="1:11" x14ac:dyDescent="0.35">
      <c r="A114" s="30" t="s">
        <v>146</v>
      </c>
      <c r="B114" s="40">
        <f>'Non-OECD Americas 1995'!$I12/('Non-OECD Americas 1995'!$L12-'Non-OECD Americas 1995'!$J12-'Non-OECD Americas 1995'!$G12-'Non-OECD Americas 1995'!$H12)</f>
        <v>2.8678405730254767E-2</v>
      </c>
      <c r="C114" s="40">
        <f>'Non-OECD Americas 2000'!$I12/('Non-OECD Americas 2000'!$L12-'Non-OECD Americas 2000'!$J12-'Non-OECD Americas 2000'!$G12-'Non-OECD Americas 2000'!$H12)</f>
        <v>3.0520192226625074E-2</v>
      </c>
      <c r="D114" s="40">
        <f>'Non-OECD Americas 2005'!$I12/('Non-OECD Americas 2005'!$L12-'Non-OECD Americas 2005'!$J12-'Non-OECD Americas 2005'!$G12-'Non-OECD Americas 2005'!$H12)</f>
        <v>3.6303463181534198E-2</v>
      </c>
      <c r="E114" s="40">
        <f>'Non-OECD Americas 2010'!$I12/('Non-OECD Americas 2010'!$L12-'Non-OECD Americas 2010'!$J12-'Non-OECD Americas 2010'!$G12-'Non-OECD Americas 2010'!$H12)</f>
        <v>4.741390702222692E-2</v>
      </c>
      <c r="F114" s="40">
        <f>'Non-OECD Americas 2015'!$I12/('Non-OECD Americas 2015'!$L12-'Non-OECD Americas 2015'!$J12-'Non-OECD Americas 2015'!$G12-'Non-OECD Americas 2015'!$H12)</f>
        <v>4.5077551181802906E-2</v>
      </c>
      <c r="G114" s="40">
        <f>'Non-OECD Americas 2018'!$I12/('Non-OECD Americas 2018'!$L12-'Non-OECD Americas 2018'!$J12-'Non-OECD Americas 2018'!$G12-'Non-OECD Americas 2018'!$H12)</f>
        <v>5.9064012910166754E-2</v>
      </c>
      <c r="H114" s="77">
        <f t="shared" si="1"/>
        <v>5.9064012910166754E-2</v>
      </c>
      <c r="I114" s="77">
        <f t="shared" si="1"/>
        <v>5.9064012910166754E-2</v>
      </c>
    </row>
    <row r="115" spans="1:11" x14ac:dyDescent="0.35">
      <c r="A115" s="32" t="s">
        <v>181</v>
      </c>
      <c r="B115" s="82"/>
      <c r="C115" s="82"/>
      <c r="D115" s="82"/>
      <c r="E115" s="82"/>
      <c r="F115" s="82"/>
      <c r="G115" s="82"/>
      <c r="H115" s="42"/>
      <c r="I115" s="42"/>
    </row>
    <row r="116" spans="1:11" x14ac:dyDescent="0.35">
      <c r="A116" s="30" t="s">
        <v>141</v>
      </c>
      <c r="B116" s="40">
        <f>'Non-OECD Americas 1995'!$B13/IF(('Non-OECD Americas 1995'!$L13-'Non-OECD Americas 1995'!$J13-'Non-OECD Americas 1995'!$K13-'Non-OECD Americas 1995'!$G13-'Non-OECD Americas 1995'!$H13)=0,1,('Non-OECD Americas 1995'!$L13-'Non-OECD Americas 1995'!$J13-'Non-OECD Americas 1995'!$K13-'Non-OECD Americas 1995'!$G13-'Non-OECD Americas 1995'!$H13))</f>
        <v>0.18851435705368288</v>
      </c>
      <c r="C116" s="40">
        <f>'Non-OECD Americas 2000'!$B13/IF(('Non-OECD Americas 2000'!$L13-'Non-OECD Americas 2000'!$J13-'Non-OECD Americas 2000'!$K13-'Non-OECD Americas 2000'!$G13-'Non-OECD Americas 2000'!$H13)=0,1,('Non-OECD Americas 2000'!$L13-'Non-OECD Americas 2000'!$J13-'Non-OECD Americas 2000'!$K13-'Non-OECD Americas 2000'!$G13-'Non-OECD Americas 2000'!$H13))</f>
        <v>0.25439958592132506</v>
      </c>
      <c r="D116" s="40">
        <f>'Non-OECD Americas 2005'!$B13/IF(('Non-OECD Americas 2005'!$L13-'Non-OECD Americas 2005'!$J13-'Non-OECD Americas 2005'!$K13-'Non-OECD Americas 2005'!$G13-'Non-OECD Americas 2005'!$H13)=0,1,('Non-OECD Americas 2005'!$L13-'Non-OECD Americas 2005'!$J13-'Non-OECD Americas 2005'!$K13-'Non-OECD Americas 2005'!$G13-'Non-OECD Americas 2005'!$H13))</f>
        <v>0.19996397045577374</v>
      </c>
      <c r="E116" s="40">
        <f>'Non-OECD Americas 2010'!$B13/IF(('Non-OECD Americas 2010'!$L13-'Non-OECD Americas 2010'!$J13-'Non-OECD Americas 2010'!$K13-'Non-OECD Americas 2010'!$G13-'Non-OECD Americas 2010'!$H13)=0,1,('Non-OECD Americas 2010'!$L13-'Non-OECD Americas 2010'!$J13-'Non-OECD Americas 2010'!$K13-'Non-OECD Americas 2010'!$G13-'Non-OECD Americas 2010'!$H13))</f>
        <v>0.14709890965732086</v>
      </c>
      <c r="F116" s="40">
        <f>'Non-OECD Americas 2015'!$B13/IF(('Non-OECD Americas 2015'!$L13-'Non-OECD Americas 2015'!$J13-'Non-OECD Americas 2015'!$K13-'Non-OECD Americas 2015'!$G13-'Non-OECD Americas 2015'!$H13)=0,1,('Non-OECD Americas 2015'!$L13-'Non-OECD Americas 2015'!$J13-'Non-OECD Americas 2015'!$K13-'Non-OECD Americas 2015'!$G13-'Non-OECD Americas 2015'!$H13))</f>
        <v>0.13787085514834205</v>
      </c>
      <c r="G116" s="40">
        <f>'Non-OECD Americas 2018'!$B13/IF(('Non-OECD Americas 2018'!$L13-'Non-OECD Americas 2018'!$J13-'Non-OECD Americas 2018'!$K13-'Non-OECD Americas 2018'!$G13-'Non-OECD Americas 2018'!$H13)=0,1,('Non-OECD Americas 2018'!$L13-'Non-OECD Americas 2018'!$J13-'Non-OECD Americas 2018'!$K13-'Non-OECD Americas 2018'!$G13-'Non-OECD Americas 2018'!$H13))</f>
        <v>0.1200214563497385</v>
      </c>
      <c r="H116" s="89">
        <f>1-H117-H118-H119-H120-H121</f>
        <v>0.1200885074426713</v>
      </c>
      <c r="I116" s="89">
        <f>1-I117-I118-I119-I120-I121</f>
        <v>0.1200885074426713</v>
      </c>
    </row>
    <row r="117" spans="1:11" x14ac:dyDescent="0.35">
      <c r="A117" s="30" t="s">
        <v>142</v>
      </c>
      <c r="B117" s="40">
        <f>'Non-OECD Americas 1995'!$C13/IF(('Non-OECD Americas 1995'!$L13-'Non-OECD Americas 1995'!$J13-'Non-OECD Americas 1995'!$K13-'Non-OECD Americas 1995'!$G13-'Non-OECD Americas 1995'!$H13)=0,1,('Non-OECD Americas 1995'!$L13-'Non-OECD Americas 1995'!$J13-'Non-OECD Americas 1995'!$K13-'Non-OECD Americas 1995'!$G13-'Non-OECD Americas 1995'!$H13))</f>
        <v>0</v>
      </c>
      <c r="C117" s="40">
        <f>'Non-OECD Americas 2000'!$C13/IF(('Non-OECD Americas 2000'!$L13-'Non-OECD Americas 2000'!$J13-'Non-OECD Americas 2000'!$K13-'Non-OECD Americas 2000'!$G13-'Non-OECD Americas 2000'!$H13)=0,1,('Non-OECD Americas 2000'!$L13-'Non-OECD Americas 2000'!$J13-'Non-OECD Americas 2000'!$K13-'Non-OECD Americas 2000'!$G13-'Non-OECD Americas 2000'!$H13))</f>
        <v>0</v>
      </c>
      <c r="D117" s="40">
        <f>'Non-OECD Americas 2005'!$C13/IF(('Non-OECD Americas 2005'!$L13-'Non-OECD Americas 2005'!$J13-'Non-OECD Americas 2005'!$K13-'Non-OECD Americas 2005'!$G13-'Non-OECD Americas 2005'!$H13)=0,1,('Non-OECD Americas 2005'!$L13-'Non-OECD Americas 2005'!$J13-'Non-OECD Americas 2005'!$K13-'Non-OECD Americas 2005'!$G13-'Non-OECD Americas 2005'!$H13))</f>
        <v>0</v>
      </c>
      <c r="E117" s="40">
        <f>'Non-OECD Americas 2010'!$C13/IF(('Non-OECD Americas 2010'!$L13-'Non-OECD Americas 2010'!$J13-'Non-OECD Americas 2010'!$K13-'Non-OECD Americas 2010'!$G13-'Non-OECD Americas 2010'!$H13)=0,1,('Non-OECD Americas 2010'!$L13-'Non-OECD Americas 2010'!$J13-'Non-OECD Americas 2010'!$K13-'Non-OECD Americas 2010'!$G13-'Non-OECD Americas 2010'!$H13))</f>
        <v>0</v>
      </c>
      <c r="F117" s="40">
        <f>'Non-OECD Americas 2015'!$C13/IF(('Non-OECD Americas 2015'!$L13-'Non-OECD Americas 2015'!$J13-'Non-OECD Americas 2015'!$K13-'Non-OECD Americas 2015'!$G13-'Non-OECD Americas 2015'!$H13)=0,1,('Non-OECD Americas 2015'!$L13-'Non-OECD Americas 2015'!$J13-'Non-OECD Americas 2015'!$K13-'Non-OECD Americas 2015'!$G13-'Non-OECD Americas 2015'!$H13))</f>
        <v>0</v>
      </c>
      <c r="G117" s="40">
        <f>'Non-OECD Americas 2018'!$C13/IF(('Non-OECD Americas 2018'!$L13-'Non-OECD Americas 2018'!$J13-'Non-OECD Americas 2018'!$K13-'Non-OECD Americas 2018'!$G13-'Non-OECD Americas 2018'!$H13)=0,1,('Non-OECD Americas 2018'!$L13-'Non-OECD Americas 2018'!$J13-'Non-OECD Americas 2018'!$K13-'Non-OECD Americas 2018'!$G13-'Non-OECD Americas 2018'!$H13))</f>
        <v>0</v>
      </c>
      <c r="H117" s="77">
        <f t="shared" si="1"/>
        <v>0</v>
      </c>
      <c r="I117" s="77">
        <f t="shared" si="1"/>
        <v>0</v>
      </c>
    </row>
    <row r="118" spans="1:11" x14ac:dyDescent="0.35">
      <c r="A118" s="30" t="s">
        <v>143</v>
      </c>
      <c r="B118" s="40">
        <f>'Non-OECD Americas 1995'!$D13/IF('Non-OECD Americas 1995'!$L13-'Non-OECD Americas 1995'!$J13-'Non-OECD Americas 1995'!$K13-'Non-OECD Americas 1995'!$G13-'Non-OECD Americas 1995'!$H13=0,1,('Non-OECD Americas 1995'!$L13-'Non-OECD Americas 1995'!$J13-'Non-OECD Americas 1995'!$K13-'Non-OECD Americas 1995'!$G13-'Non-OECD Americas 1995'!$H13))</f>
        <v>0.26092384519350814</v>
      </c>
      <c r="C118" s="40">
        <f>'Non-OECD Americas 2000'!$D13/IF('Non-OECD Americas 2000'!$L13-'Non-OECD Americas 2000'!$J13-'Non-OECD Americas 2000'!$K13-'Non-OECD Americas 2000'!$G13-'Non-OECD Americas 2000'!$H13=0,1,('Non-OECD Americas 2000'!$L13-'Non-OECD Americas 2000'!$J13-'Non-OECD Americas 2000'!$K13-'Non-OECD Americas 2000'!$G13-'Non-OECD Americas 2000'!$H13))</f>
        <v>0.18193581780538301</v>
      </c>
      <c r="D118" s="40">
        <f>'Non-OECD Americas 2005'!$D13/IF('Non-OECD Americas 2005'!$L13-'Non-OECD Americas 2005'!$J13-'Non-OECD Americas 2005'!$K13-'Non-OECD Americas 2005'!$G13-'Non-OECD Americas 2005'!$H13=0,1,('Non-OECD Americas 2005'!$L13-'Non-OECD Americas 2005'!$J13-'Non-OECD Americas 2005'!$K13-'Non-OECD Americas 2005'!$G13-'Non-OECD Americas 2005'!$H13))</f>
        <v>9.9441542064492891E-2</v>
      </c>
      <c r="E118" s="40">
        <f>'Non-OECD Americas 2010'!$D13/IF('Non-OECD Americas 2010'!$L13-'Non-OECD Americas 2010'!$J13-'Non-OECD Americas 2010'!$K13-'Non-OECD Americas 2010'!$G13-'Non-OECD Americas 2010'!$H13=0,1,('Non-OECD Americas 2010'!$L13-'Non-OECD Americas 2010'!$J13-'Non-OECD Americas 2010'!$K13-'Non-OECD Americas 2010'!$G13-'Non-OECD Americas 2010'!$H13))</f>
        <v>6.7659657320872271E-2</v>
      </c>
      <c r="F118" s="40">
        <f>'Non-OECD Americas 2015'!$D13/IF('Non-OECD Americas 2015'!$L13-'Non-OECD Americas 2015'!$J13-'Non-OECD Americas 2015'!$K13-'Non-OECD Americas 2015'!$G13-'Non-OECD Americas 2015'!$H13=0,1,('Non-OECD Americas 2015'!$L13-'Non-OECD Americas 2015'!$J13-'Non-OECD Americas 2015'!$K13-'Non-OECD Americas 2015'!$G13-'Non-OECD Americas 2015'!$H13))</f>
        <v>6.1431064572425829E-2</v>
      </c>
      <c r="G118" s="40">
        <f>'Non-OECD Americas 2018'!$D13/IF('Non-OECD Americas 2018'!$L13-'Non-OECD Americas 2018'!$J13-'Non-OECD Americas 2018'!$K13-'Non-OECD Americas 2018'!$G13-'Non-OECD Americas 2018'!$H13=0,1,('Non-OECD Americas 2018'!$L13-'Non-OECD Americas 2018'!$J13-'Non-OECD Americas 2018'!$K13-'Non-OECD Americas 2018'!$G13-'Non-OECD Americas 2018'!$H13))</f>
        <v>5.3305618881587767E-2</v>
      </c>
      <c r="H118" s="77">
        <f t="shared" si="1"/>
        <v>5.3305618881587767E-2</v>
      </c>
      <c r="I118" s="77">
        <f t="shared" si="1"/>
        <v>5.3305618881587767E-2</v>
      </c>
    </row>
    <row r="119" spans="1:11" x14ac:dyDescent="0.35">
      <c r="A119" s="30" t="s">
        <v>241</v>
      </c>
      <c r="B119" s="40">
        <f>'Non-OECD Americas 1995'!$E13/IF(('Non-OECD Americas 1995'!$L13-'Non-OECD Americas 1995'!$J13-'Non-OECD Americas 1995'!$K13-'Non-OECD Americas 1995'!$G13-'Non-OECD Americas 1995'!$H13)=0,1,('Non-OECD Americas 1995'!$L13-'Non-OECD Americas 1995'!$J13-'Non-OECD Americas 1995'!$K13-'Non-OECD Americas 1995'!$G13-'Non-OECD Americas 1995'!$H13))</f>
        <v>7.3241781106949649E-2</v>
      </c>
      <c r="C119" s="40">
        <f>'Non-OECD Americas 2000'!$E13/IF(('Non-OECD Americas 2000'!$L13-'Non-OECD Americas 2000'!$J13-'Non-OECD Americas 2000'!$K13-'Non-OECD Americas 2000'!$G13-'Non-OECD Americas 2000'!$H13)=0,1,('Non-OECD Americas 2000'!$L13-'Non-OECD Americas 2000'!$J13-'Non-OECD Americas 2000'!$K13-'Non-OECD Americas 2000'!$G13-'Non-OECD Americas 2000'!$H13))</f>
        <v>0.14751552795031056</v>
      </c>
      <c r="D119" s="40">
        <f>'Non-OECD Americas 2005'!$E13/IF(('Non-OECD Americas 2005'!$L13-'Non-OECD Americas 2005'!$J13-'Non-OECD Americas 2005'!$K13-'Non-OECD Americas 2005'!$G13-'Non-OECD Americas 2005'!$H13)=0,1,('Non-OECD Americas 2005'!$L13-'Non-OECD Americas 2005'!$J13-'Non-OECD Americas 2005'!$K13-'Non-OECD Americas 2005'!$G13-'Non-OECD Americas 2005'!$H13))</f>
        <v>0.19528012970635922</v>
      </c>
      <c r="E119" s="40">
        <f>'Non-OECD Americas 2010'!$E13/IF(('Non-OECD Americas 2010'!$L13-'Non-OECD Americas 2010'!$J13-'Non-OECD Americas 2010'!$K13-'Non-OECD Americas 2010'!$G13-'Non-OECD Americas 2010'!$H13)=0,1,('Non-OECD Americas 2010'!$L13-'Non-OECD Americas 2010'!$J13-'Non-OECD Americas 2010'!$K13-'Non-OECD Americas 2010'!$G13-'Non-OECD Americas 2010'!$H13))</f>
        <v>0.20628894080996885</v>
      </c>
      <c r="F119" s="40">
        <f>'Non-OECD Americas 2015'!$E13/IF(('Non-OECD Americas 2015'!$L13-'Non-OECD Americas 2015'!$J13-'Non-OECD Americas 2015'!$K13-'Non-OECD Americas 2015'!$G13-'Non-OECD Americas 2015'!$H13)=0,1,('Non-OECD Americas 2015'!$L13-'Non-OECD Americas 2015'!$J13-'Non-OECD Americas 2015'!$K13-'Non-OECD Americas 2015'!$G13-'Non-OECD Americas 2015'!$H13))</f>
        <v>0.18387434554973822</v>
      </c>
      <c r="G119" s="40">
        <f>'Non-OECD Americas 2018'!$E13/IF(('Non-OECD Americas 2018'!$L13-'Non-OECD Americas 2018'!$J13-'Non-OECD Americas 2018'!$K13-'Non-OECD Americas 2018'!$G13-'Non-OECD Americas 2018'!$H13)=0,1,('Non-OECD Americas 2018'!$L13-'Non-OECD Americas 2018'!$J13-'Non-OECD Americas 2018'!$K13-'Non-OECD Americas 2018'!$G13-'Non-OECD Americas 2018'!$H13))</f>
        <v>0.18613383398149388</v>
      </c>
      <c r="H119" s="77">
        <f t="shared" si="1"/>
        <v>0.18613383398149388</v>
      </c>
      <c r="I119" s="77">
        <f t="shared" si="1"/>
        <v>0.18613383398149388</v>
      </c>
    </row>
    <row r="120" spans="1:11" x14ac:dyDescent="0.35">
      <c r="A120" s="30" t="s">
        <v>180</v>
      </c>
      <c r="B120" s="40">
        <f>'Non-OECD Americas 1995'!$F13/IF(('Non-OECD Americas 1995'!$L13-'Non-OECD Americas 1995'!$J13-'Non-OECD Americas 1995'!$K13-'Non-OECD Americas 1995'!$G13-'Non-OECD Americas 1995'!$H13)=0,1,('Non-OECD Americas 1995'!$L13-'Non-OECD Americas 1995'!$J13-'Non-OECD Americas 1995'!$K13-'Non-OECD Americas 1995'!$G13-'Non-OECD Americas 1995'!$H13))</f>
        <v>0</v>
      </c>
      <c r="C120" s="40">
        <f>'Non-OECD Americas 2000'!$F13/IF(('Non-OECD Americas 2000'!$L13-'Non-OECD Americas 2000'!$J13-'Non-OECD Americas 2000'!$K13-'Non-OECD Americas 2000'!$G13-'Non-OECD Americas 2000'!$H13)=0,1,('Non-OECD Americas 2000'!$L13-'Non-OECD Americas 2000'!$J13-'Non-OECD Americas 2000'!$K13-'Non-OECD Americas 2000'!$G13-'Non-OECD Americas 2000'!$H13))</f>
        <v>0</v>
      </c>
      <c r="D120" s="40">
        <f>'Non-OECD Americas 2005'!$F13/IF(('Non-OECD Americas 2005'!$L13-'Non-OECD Americas 2005'!$J13-'Non-OECD Americas 2005'!$K13-'Non-OECD Americas 2005'!$G13-'Non-OECD Americas 2005'!$H13)=0,1,('Non-OECD Americas 2005'!$L13-'Non-OECD Americas 2005'!$J13-'Non-OECD Americas 2005'!$K13-'Non-OECD Americas 2005'!$G13-'Non-OECD Americas 2005'!$H13))</f>
        <v>0</v>
      </c>
      <c r="E120" s="40">
        <f>'Non-OECD Americas 2010'!$F13/IF(('Non-OECD Americas 2010'!$L13-'Non-OECD Americas 2010'!$J13-'Non-OECD Americas 2010'!$K13-'Non-OECD Americas 2010'!$G13-'Non-OECD Americas 2010'!$H13)=0,1,('Non-OECD Americas 2010'!$L13-'Non-OECD Americas 2010'!$J13-'Non-OECD Americas 2010'!$K13-'Non-OECD Americas 2010'!$G13-'Non-OECD Americas 2010'!$H13))</f>
        <v>0</v>
      </c>
      <c r="F120" s="40">
        <f>'Non-OECD Americas 2015'!$F13/IF(('Non-OECD Americas 2015'!$L13-'Non-OECD Americas 2015'!$J13-'Non-OECD Americas 2015'!$K13-'Non-OECD Americas 2015'!$G13-'Non-OECD Americas 2015'!$H13)=0,1,('Non-OECD Americas 2015'!$L13-'Non-OECD Americas 2015'!$J13-'Non-OECD Americas 2015'!$K13-'Non-OECD Americas 2015'!$G13-'Non-OECD Americas 2015'!$H13))</f>
        <v>0</v>
      </c>
      <c r="G120" s="40">
        <f>'Non-OECD Americas 2018'!$F13/IF(('Non-OECD Americas 2018'!$L13-'Non-OECD Americas 2018'!$J13-'Non-OECD Americas 2018'!$K13-'Non-OECD Americas 2018'!$G13-'Non-OECD Americas 2018'!$H13)=0,1,('Non-OECD Americas 2018'!$L13-'Non-OECD Americas 2018'!$J13-'Non-OECD Americas 2018'!$K13-'Non-OECD Americas 2018'!$G13-'Non-OECD Americas 2018'!$H13))</f>
        <v>0</v>
      </c>
      <c r="H120" s="77">
        <f t="shared" si="1"/>
        <v>0</v>
      </c>
      <c r="I120" s="77">
        <f t="shared" si="1"/>
        <v>0</v>
      </c>
    </row>
    <row r="121" spans="1:11" x14ac:dyDescent="0.35">
      <c r="A121" s="30" t="s">
        <v>146</v>
      </c>
      <c r="B121" s="40">
        <f>'Non-OECD Americas 1995'!$I13/IF(('Non-OECD Americas 1995'!$L13-'Non-OECD Americas 1995'!$J13-'Non-OECD Americas 1995'!$K13-'Non-OECD Americas 1995'!$G13-'Non-OECD Americas 1995'!$H13)=0,1,('Non-OECD Americas 1995'!$L13-'Non-OECD Americas 1995'!$J13-'Non-OECD Americas 1995'!$K13-'Non-OECD Americas 1995'!$G13-'Non-OECD Americas 1995'!$H13))</f>
        <v>0.47773616312942158</v>
      </c>
      <c r="C121" s="40">
        <f>'Non-OECD Americas 2000'!$I13/IF(('Non-OECD Americas 2000'!$L13-'Non-OECD Americas 2000'!$J13-'Non-OECD Americas 2000'!$K13-'Non-OECD Americas 2000'!$G13-'Non-OECD Americas 2000'!$H13)=0,1,('Non-OECD Americas 2000'!$L13-'Non-OECD Americas 2000'!$J13-'Non-OECD Americas 2000'!$K13-'Non-OECD Americas 2000'!$G13-'Non-OECD Americas 2000'!$H13))</f>
        <v>0.416407867494824</v>
      </c>
      <c r="D121" s="40">
        <f>'Non-OECD Americas 2005'!$I13/IF(('Non-OECD Americas 2005'!$L13-'Non-OECD Americas 2005'!$J13-'Non-OECD Americas 2005'!$K13-'Non-OECD Americas 2005'!$G13-'Non-OECD Americas 2005'!$H13)=0,1,('Non-OECD Americas 2005'!$L13-'Non-OECD Americas 2005'!$J13-'Non-OECD Americas 2005'!$K13-'Non-OECD Americas 2005'!$G13-'Non-OECD Americas 2005'!$H13))</f>
        <v>0.50495406233111151</v>
      </c>
      <c r="E121" s="40">
        <f>'Non-OECD Americas 2010'!$I13/IF(('Non-OECD Americas 2010'!$L13-'Non-OECD Americas 2010'!$J13-'Non-OECD Americas 2010'!$K13-'Non-OECD Americas 2010'!$G13-'Non-OECD Americas 2010'!$H13)=0,1,('Non-OECD Americas 2010'!$L13-'Non-OECD Americas 2010'!$J13-'Non-OECD Americas 2010'!$K13-'Non-OECD Americas 2010'!$G13-'Non-OECD Americas 2010'!$H13))</f>
        <v>0.57885514018691586</v>
      </c>
      <c r="F121" s="40">
        <f>'Non-OECD Americas 2015'!$I13/IF(('Non-OECD Americas 2015'!$L13-'Non-OECD Americas 2015'!$J13-'Non-OECD Americas 2015'!$K13-'Non-OECD Americas 2015'!$G13-'Non-OECD Americas 2015'!$H13)=0,1,('Non-OECD Americas 2015'!$L13-'Non-OECD Americas 2015'!$J13-'Non-OECD Americas 2015'!$K13-'Non-OECD Americas 2015'!$G13-'Non-OECD Americas 2015'!$H13))</f>
        <v>0.61682373472949392</v>
      </c>
      <c r="G121" s="40">
        <f>'Non-OECD Americas 2018'!$I13/IF(('Non-OECD Americas 2018'!$L13-'Non-OECD Americas 2018'!$J13-'Non-OECD Americas 2018'!$K13-'Non-OECD Americas 2018'!$G13-'Non-OECD Americas 2018'!$H13)=0,1,('Non-OECD Americas 2018'!$L13-'Non-OECD Americas 2018'!$J13-'Non-OECD Americas 2018'!$K13-'Non-OECD Americas 2018'!$G13-'Non-OECD Americas 2018'!$H13))</f>
        <v>0.64047203969424704</v>
      </c>
      <c r="H121" s="77">
        <f t="shared" si="1"/>
        <v>0.64047203969424704</v>
      </c>
      <c r="I121" s="77">
        <f t="shared" si="1"/>
        <v>0.64047203969424704</v>
      </c>
    </row>
    <row r="122" spans="1:11" x14ac:dyDescent="0.35">
      <c r="A122" s="32" t="s">
        <v>182</v>
      </c>
      <c r="B122" s="82"/>
      <c r="C122" s="82"/>
      <c r="D122" s="82"/>
      <c r="E122" s="82"/>
      <c r="F122" s="82"/>
      <c r="G122" s="82"/>
      <c r="H122" s="42"/>
      <c r="I122" s="42"/>
    </row>
    <row r="123" spans="1:11" x14ac:dyDescent="0.35">
      <c r="A123" s="30" t="s">
        <v>141</v>
      </c>
      <c r="B123" s="40">
        <f>'Non-OECD Americas 1995'!$B14/IF(('Non-OECD Americas 1995'!$L14-'Non-OECD Americas 1995'!$J14-'Non-OECD Americas 1995'!$K14-'Non-OECD Americas 1995'!$G14-'Non-OECD Americas 1995'!$H14)=0,1,('Non-OECD Americas 1995'!$L14-'Non-OECD Americas 1995'!$J14-'Non-OECD Americas 1995'!$K14-'Non-OECD Americas 1995'!$G14-'Non-OECD Americas 1995'!$H14))</f>
        <v>0</v>
      </c>
      <c r="C123" s="40">
        <f>'Non-OECD Americas 2000'!$B14/IF(('Non-OECD Americas 2000'!$L14-'Non-OECD Americas 2000'!$J14-'Non-OECD Americas 2000'!$K14-'Non-OECD Americas 2000'!$G14-'Non-OECD Americas 2000'!$H14)=0,1,('Non-OECD Americas 2000'!$L14-'Non-OECD Americas 2000'!$J14-'Non-OECD Americas 2000'!$K14-'Non-OECD Americas 2000'!$G14-'Non-OECD Americas 2000'!$H14))</f>
        <v>0</v>
      </c>
      <c r="D123" s="40">
        <f>'Non-OECD Americas 2005'!$B14/IF(('Non-OECD Americas 2005'!$L14-'Non-OECD Americas 2005'!$J14-'Non-OECD Americas 2005'!$K14-'Non-OECD Americas 2005'!$G14-'Non-OECD Americas 2005'!$H14)=0,1,('Non-OECD Americas 2005'!$L14-'Non-OECD Americas 2005'!$J14-'Non-OECD Americas 2005'!$K14-'Non-OECD Americas 2005'!$G14-'Non-OECD Americas 2005'!$H14))</f>
        <v>0</v>
      </c>
      <c r="E123" s="40">
        <f>'Non-OECD Americas 2010'!$B14/IF(('Non-OECD Americas 2010'!$L14-'Non-OECD Americas 2010'!$J14-'Non-OECD Americas 2010'!$K14-'Non-OECD Americas 2010'!$G14-'Non-OECD Americas 2010'!$H14)=0,1,('Non-OECD Americas 2010'!$L14-'Non-OECD Americas 2010'!$J14-'Non-OECD Americas 2010'!$K14-'Non-OECD Americas 2010'!$G14-'Non-OECD Americas 2010'!$H14))</f>
        <v>0</v>
      </c>
      <c r="F123" s="40">
        <f>'Non-OECD Americas 2015'!$B14/IF(('Non-OECD Americas 2015'!$L14-'Non-OECD Americas 2015'!$J14-'Non-OECD Americas 2015'!$K14-'Non-OECD Americas 2015'!$G14-'Non-OECD Americas 2015'!$H14)=0,1,('Non-OECD Americas 2015'!$L14-'Non-OECD Americas 2015'!$J14-'Non-OECD Americas 2015'!$K14-'Non-OECD Americas 2015'!$G14-'Non-OECD Americas 2015'!$H14))</f>
        <v>0</v>
      </c>
      <c r="G123" s="40">
        <f>'Non-OECD Americas 2018'!$B14/IF(('Non-OECD Americas 2018'!$L14-'Non-OECD Americas 2018'!$J14-'Non-OECD Americas 2018'!$K14-'Non-OECD Americas 2018'!$G14-'Non-OECD Americas 2018'!$H14)=0,1,('Non-OECD Americas 2018'!$L14-'Non-OECD Americas 2018'!$J14-'Non-OECD Americas 2018'!$K14-'Non-OECD Americas 2018'!$G14-'Non-OECD Americas 2018'!$H14))</f>
        <v>0</v>
      </c>
      <c r="H123" s="77">
        <f t="shared" si="1"/>
        <v>0</v>
      </c>
      <c r="I123" s="77">
        <f t="shared" si="1"/>
        <v>0</v>
      </c>
    </row>
    <row r="124" spans="1:11" x14ac:dyDescent="0.35">
      <c r="A124" s="30" t="s">
        <v>142</v>
      </c>
      <c r="B124" s="40">
        <f>'Non-OECD Americas 1995'!$C14/IF(('Non-OECD Americas 1995'!$L14-'Non-OECD Americas 1995'!$J14-'Non-OECD Americas 1995'!$K14-'Non-OECD Americas 1995'!$G14-'Non-OECD Americas 1995'!$H14)=0,1,('Non-OECD Americas 1995'!$L14-'Non-OECD Americas 1995'!$J14-'Non-OECD Americas 1995'!$K14-'Non-OECD Americas 1995'!$G14-'Non-OECD Americas 1995'!$H14))</f>
        <v>0</v>
      </c>
      <c r="C124" s="40">
        <f>'Non-OECD Americas 2000'!$C14/IF(('Non-OECD Americas 2000'!$L14-'Non-OECD Americas 2000'!$J14-'Non-OECD Americas 2000'!$K14-'Non-OECD Americas 2000'!$G14-'Non-OECD Americas 2000'!$H14)=0,1,('Non-OECD Americas 2000'!$L14-'Non-OECD Americas 2000'!$J14-'Non-OECD Americas 2000'!$K14-'Non-OECD Americas 2000'!$G14-'Non-OECD Americas 2000'!$H14))</f>
        <v>0</v>
      </c>
      <c r="D124" s="40">
        <f>'Non-OECD Americas 2005'!$C14/IF(('Non-OECD Americas 2005'!$L14-'Non-OECD Americas 2005'!$J14-'Non-OECD Americas 2005'!$K14-'Non-OECD Americas 2005'!$G14-'Non-OECD Americas 2005'!$H14)=0,1,('Non-OECD Americas 2005'!$L14-'Non-OECD Americas 2005'!$J14-'Non-OECD Americas 2005'!$K14-'Non-OECD Americas 2005'!$G14-'Non-OECD Americas 2005'!$H14))</f>
        <v>0</v>
      </c>
      <c r="E124" s="40">
        <f>'Non-OECD Americas 2010'!$C14/IF(('Non-OECD Americas 2010'!$L14-'Non-OECD Americas 2010'!$J14-'Non-OECD Americas 2010'!$K14-'Non-OECD Americas 2010'!$G14-'Non-OECD Americas 2010'!$H14)=0,1,('Non-OECD Americas 2010'!$L14-'Non-OECD Americas 2010'!$J14-'Non-OECD Americas 2010'!$K14-'Non-OECD Americas 2010'!$G14-'Non-OECD Americas 2010'!$H14))</f>
        <v>0</v>
      </c>
      <c r="F124" s="40">
        <f>'Non-OECD Americas 2015'!$C14/IF(('Non-OECD Americas 2015'!$L14-'Non-OECD Americas 2015'!$J14-'Non-OECD Americas 2015'!$K14-'Non-OECD Americas 2015'!$G14-'Non-OECD Americas 2015'!$H14)=0,1,('Non-OECD Americas 2015'!$L14-'Non-OECD Americas 2015'!$J14-'Non-OECD Americas 2015'!$K14-'Non-OECD Americas 2015'!$G14-'Non-OECD Americas 2015'!$H14))</f>
        <v>0</v>
      </c>
      <c r="G124" s="40">
        <f>'Non-OECD Americas 2018'!$C14/IF(('Non-OECD Americas 2018'!$L14-'Non-OECD Americas 2018'!$J14-'Non-OECD Americas 2018'!$K14-'Non-OECD Americas 2018'!$G14-'Non-OECD Americas 2018'!$H14)=0,1,('Non-OECD Americas 2018'!$L14-'Non-OECD Americas 2018'!$J14-'Non-OECD Americas 2018'!$K14-'Non-OECD Americas 2018'!$G14-'Non-OECD Americas 2018'!$H14))</f>
        <v>0</v>
      </c>
      <c r="H124" s="77">
        <f t="shared" si="1"/>
        <v>0</v>
      </c>
      <c r="I124" s="77">
        <f t="shared" si="1"/>
        <v>0</v>
      </c>
    </row>
    <row r="125" spans="1:11" x14ac:dyDescent="0.35">
      <c r="A125" s="30" t="s">
        <v>143</v>
      </c>
      <c r="B125" s="40">
        <f>'Non-OECD Americas 1995'!$D14/IF(('Non-OECD Americas 1995'!$L14-'Non-OECD Americas 1995'!$J14-'Non-OECD Americas 1995'!$K14-'Non-OECD Americas 1995'!$G14-'Non-OECD Americas 1995'!$H14)=0,1,('Non-OECD Americas 1995'!$L14-'Non-OECD Americas 1995'!$J14-'Non-OECD Americas 1995'!$K14-'Non-OECD Americas 1995'!$G14-'Non-OECD Americas 1995'!$H14))</f>
        <v>0</v>
      </c>
      <c r="C125" s="40">
        <f>'Non-OECD Americas 2000'!$D14/IF(('Non-OECD Americas 2000'!$L14-'Non-OECD Americas 2000'!$J14-'Non-OECD Americas 2000'!$K14-'Non-OECD Americas 2000'!$G14-'Non-OECD Americas 2000'!$H14)=0,1,('Non-OECD Americas 2000'!$L14-'Non-OECD Americas 2000'!$J14-'Non-OECD Americas 2000'!$K14-'Non-OECD Americas 2000'!$G14-'Non-OECD Americas 2000'!$H14))</f>
        <v>0</v>
      </c>
      <c r="D125" s="40">
        <f>'Non-OECD Americas 2005'!$D14/IF(('Non-OECD Americas 2005'!$L14-'Non-OECD Americas 2005'!$J14-'Non-OECD Americas 2005'!$K14-'Non-OECD Americas 2005'!$G14-'Non-OECD Americas 2005'!$H14)=0,1,('Non-OECD Americas 2005'!$L14-'Non-OECD Americas 2005'!$J14-'Non-OECD Americas 2005'!$K14-'Non-OECD Americas 2005'!$G14-'Non-OECD Americas 2005'!$H14))</f>
        <v>0</v>
      </c>
      <c r="E125" s="40">
        <f>'Non-OECD Americas 2010'!$D14/IF(('Non-OECD Americas 2010'!$L14-'Non-OECD Americas 2010'!$J14-'Non-OECD Americas 2010'!$K14-'Non-OECD Americas 2010'!$G14-'Non-OECD Americas 2010'!$H14)=0,1,('Non-OECD Americas 2010'!$L14-'Non-OECD Americas 2010'!$J14-'Non-OECD Americas 2010'!$K14-'Non-OECD Americas 2010'!$G14-'Non-OECD Americas 2010'!$H14))</f>
        <v>0</v>
      </c>
      <c r="F125" s="40">
        <f>'Non-OECD Americas 2015'!$D14/IF(('Non-OECD Americas 2015'!$L14-'Non-OECD Americas 2015'!$J14-'Non-OECD Americas 2015'!$K14-'Non-OECD Americas 2015'!$G14-'Non-OECD Americas 2015'!$H14)=0,1,('Non-OECD Americas 2015'!$L14-'Non-OECD Americas 2015'!$J14-'Non-OECD Americas 2015'!$K14-'Non-OECD Americas 2015'!$G14-'Non-OECD Americas 2015'!$H14))</f>
        <v>0</v>
      </c>
      <c r="G125" s="40">
        <f>'Non-OECD Americas 2018'!$D14/IF(('Non-OECD Americas 2018'!$L14-'Non-OECD Americas 2018'!$J14-'Non-OECD Americas 2018'!$K14-'Non-OECD Americas 2018'!$G14-'Non-OECD Americas 2018'!$H14)=0,1,('Non-OECD Americas 2018'!$L14-'Non-OECD Americas 2018'!$J14-'Non-OECD Americas 2018'!$K14-'Non-OECD Americas 2018'!$G14-'Non-OECD Americas 2018'!$H14))</f>
        <v>0</v>
      </c>
      <c r="H125" s="77">
        <f t="shared" si="1"/>
        <v>0</v>
      </c>
      <c r="I125" s="77">
        <f t="shared" si="1"/>
        <v>0</v>
      </c>
    </row>
    <row r="126" spans="1:11" x14ac:dyDescent="0.35">
      <c r="A126" s="30" t="s">
        <v>241</v>
      </c>
      <c r="B126" s="40">
        <f>'Non-OECD Americas 1995'!$E14/IF(('Non-OECD Americas 1995'!$L14-'Non-OECD Americas 1995'!$J14-'Non-OECD Americas 1995'!$K14-'Non-OECD Americas 1995'!$G14-'Non-OECD Americas 1995'!$H14)=0,1,('Non-OECD Americas 1995'!$L14-'Non-OECD Americas 1995'!$J14-'Non-OECD Americas 1995'!$K14-'Non-OECD Americas 1995'!$G14-'Non-OECD Americas 1995'!$H14))</f>
        <v>0</v>
      </c>
      <c r="C126" s="40">
        <f>'Non-OECD Americas 2000'!$E14/IF(('Non-OECD Americas 2000'!$L14-'Non-OECD Americas 2000'!$J14-'Non-OECD Americas 2000'!$K14-'Non-OECD Americas 2000'!$G14-'Non-OECD Americas 2000'!$H14)=0,1,('Non-OECD Americas 2000'!$L14-'Non-OECD Americas 2000'!$J14-'Non-OECD Americas 2000'!$K14-'Non-OECD Americas 2000'!$G14-'Non-OECD Americas 2000'!$H14))</f>
        <v>0</v>
      </c>
      <c r="D126" s="40">
        <f>'Non-OECD Americas 2005'!$E14/IF(('Non-OECD Americas 2005'!$L14-'Non-OECD Americas 2005'!$J14-'Non-OECD Americas 2005'!$K14-'Non-OECD Americas 2005'!$G14-'Non-OECD Americas 2005'!$H14)=0,1,('Non-OECD Americas 2005'!$L14-'Non-OECD Americas 2005'!$J14-'Non-OECD Americas 2005'!$K14-'Non-OECD Americas 2005'!$G14-'Non-OECD Americas 2005'!$H14))</f>
        <v>0</v>
      </c>
      <c r="E126" s="40">
        <f>'Non-OECD Americas 2010'!$E14/IF(('Non-OECD Americas 2010'!$L14-'Non-OECD Americas 2010'!$J14-'Non-OECD Americas 2010'!$K14-'Non-OECD Americas 2010'!$G14-'Non-OECD Americas 2010'!$H14)=0,1,('Non-OECD Americas 2010'!$L14-'Non-OECD Americas 2010'!$J14-'Non-OECD Americas 2010'!$K14-'Non-OECD Americas 2010'!$G14-'Non-OECD Americas 2010'!$H14))</f>
        <v>0</v>
      </c>
      <c r="F126" s="40">
        <f>'Non-OECD Americas 2015'!$E14/IF(('Non-OECD Americas 2015'!$L14-'Non-OECD Americas 2015'!$J14-'Non-OECD Americas 2015'!$K14-'Non-OECD Americas 2015'!$G14-'Non-OECD Americas 2015'!$H14)=0,1,('Non-OECD Americas 2015'!$L14-'Non-OECD Americas 2015'!$J14-'Non-OECD Americas 2015'!$K14-'Non-OECD Americas 2015'!$G14-'Non-OECD Americas 2015'!$H14))</f>
        <v>0</v>
      </c>
      <c r="G126" s="40">
        <f>'Non-OECD Americas 2018'!$E14/IF(('Non-OECD Americas 2018'!$L14-'Non-OECD Americas 2018'!$J14-'Non-OECD Americas 2018'!$K14-'Non-OECD Americas 2018'!$G14-'Non-OECD Americas 2018'!$H14)=0,1,('Non-OECD Americas 2018'!$L14-'Non-OECD Americas 2018'!$J14-'Non-OECD Americas 2018'!$K14-'Non-OECD Americas 2018'!$G14-'Non-OECD Americas 2018'!$H14))</f>
        <v>0</v>
      </c>
      <c r="H126" s="89">
        <f>1-H123-H124-H125-H127-H128</f>
        <v>1</v>
      </c>
      <c r="I126" s="89">
        <f>1-I123-I124-I125-I127-I128</f>
        <v>1</v>
      </c>
    </row>
    <row r="127" spans="1:11" x14ac:dyDescent="0.35">
      <c r="A127" s="30" t="s">
        <v>180</v>
      </c>
      <c r="B127" s="40">
        <f>'Non-OECD Americas 1995'!$F14/IF(('Non-OECD Americas 1995'!$L14-'Non-OECD Americas 1995'!$J14-'Non-OECD Americas 1995'!$K14-'Non-OECD Americas 1995'!$G14-'Non-OECD Americas 1995'!$H14)=0,1,('Non-OECD Americas 1995'!$L14-'Non-OECD Americas 1995'!$J14-'Non-OECD Americas 1995'!$K14-'Non-OECD Americas 1995'!$G14-'Non-OECD Americas 1995'!$H14))</f>
        <v>0</v>
      </c>
      <c r="C127" s="40">
        <f>'Non-OECD Americas 2000'!$F14/IF(('Non-OECD Americas 2000'!$L14-'Non-OECD Americas 2000'!$J14-'Non-OECD Americas 2000'!$K14-'Non-OECD Americas 2000'!$G14-'Non-OECD Americas 2000'!$H14)=0,1,('Non-OECD Americas 2000'!$L14-'Non-OECD Americas 2000'!$J14-'Non-OECD Americas 2000'!$K14-'Non-OECD Americas 2000'!$G14-'Non-OECD Americas 2000'!$H14))</f>
        <v>0</v>
      </c>
      <c r="D127" s="40">
        <f>'Non-OECD Americas 2005'!$F14/IF(('Non-OECD Americas 2005'!$L14-'Non-OECD Americas 2005'!$J14-'Non-OECD Americas 2005'!$K14-'Non-OECD Americas 2005'!$G14-'Non-OECD Americas 2005'!$H14)=0,1,('Non-OECD Americas 2005'!$L14-'Non-OECD Americas 2005'!$J14-'Non-OECD Americas 2005'!$K14-'Non-OECD Americas 2005'!$G14-'Non-OECD Americas 2005'!$H14))</f>
        <v>0</v>
      </c>
      <c r="E127" s="40">
        <f>'Non-OECD Americas 2010'!$F14/IF(('Non-OECD Americas 2010'!$L14-'Non-OECD Americas 2010'!$J14-'Non-OECD Americas 2010'!$K14-'Non-OECD Americas 2010'!$G14-'Non-OECD Americas 2010'!$H14)=0,1,('Non-OECD Americas 2010'!$L14-'Non-OECD Americas 2010'!$J14-'Non-OECD Americas 2010'!$K14-'Non-OECD Americas 2010'!$G14-'Non-OECD Americas 2010'!$H14))</f>
        <v>0</v>
      </c>
      <c r="F127" s="40">
        <f>'Non-OECD Americas 2015'!$F14/IF(('Non-OECD Americas 2015'!$L14-'Non-OECD Americas 2015'!$J14-'Non-OECD Americas 2015'!$K14-'Non-OECD Americas 2015'!$G14-'Non-OECD Americas 2015'!$H14)=0,1,('Non-OECD Americas 2015'!$L14-'Non-OECD Americas 2015'!$J14-'Non-OECD Americas 2015'!$K14-'Non-OECD Americas 2015'!$G14-'Non-OECD Americas 2015'!$H14))</f>
        <v>0</v>
      </c>
      <c r="G127" s="40">
        <f>'Non-OECD Americas 2018'!$F14/IF(('Non-OECD Americas 2018'!$L14-'Non-OECD Americas 2018'!$J14-'Non-OECD Americas 2018'!$K14-'Non-OECD Americas 2018'!$G14-'Non-OECD Americas 2018'!$H14)=0,1,('Non-OECD Americas 2018'!$L14-'Non-OECD Americas 2018'!$J14-'Non-OECD Americas 2018'!$K14-'Non-OECD Americas 2018'!$G14-'Non-OECD Americas 2018'!$H14))</f>
        <v>0</v>
      </c>
      <c r="H127" s="77">
        <f t="shared" si="1"/>
        <v>0</v>
      </c>
      <c r="I127" s="77">
        <f t="shared" si="1"/>
        <v>0</v>
      </c>
      <c r="K127" s="7"/>
    </row>
    <row r="128" spans="1:11" x14ac:dyDescent="0.35">
      <c r="A128" s="30" t="s">
        <v>146</v>
      </c>
      <c r="B128" s="40">
        <f>'Non-OECD Americas 1995'!$I14/IF(('Non-OECD Americas 1995'!$L14-'Non-OECD Americas 1995'!$J14-'Non-OECD Americas 1995'!$K14-'Non-OECD Americas 1995'!$G14-'Non-OECD Americas 1995'!$H14)=0,1,('Non-OECD Americas 1995'!$L14-'Non-OECD Americas 1995'!$J14-'Non-OECD Americas 1995'!$K14-'Non-OECD Americas 1995'!$G14-'Non-OECD Americas 1995'!$H14))</f>
        <v>0</v>
      </c>
      <c r="C128" s="40">
        <f>'Non-OECD Americas 2000'!$I14/IF(('Non-OECD Americas 2000'!$L14-'Non-OECD Americas 2000'!$J14-'Non-OECD Americas 2000'!$K14-'Non-OECD Americas 2000'!$G14-'Non-OECD Americas 2000'!$H14)=0,1,('Non-OECD Americas 2000'!$L14-'Non-OECD Americas 2000'!$J14-'Non-OECD Americas 2000'!$K14-'Non-OECD Americas 2000'!$G14-'Non-OECD Americas 2000'!$H14))</f>
        <v>0</v>
      </c>
      <c r="D128" s="40">
        <f>'Non-OECD Americas 2005'!$I14/IF(('Non-OECD Americas 2005'!$L14-'Non-OECD Americas 2005'!$J14-'Non-OECD Americas 2005'!$K14-'Non-OECD Americas 2005'!$G14-'Non-OECD Americas 2005'!$H14)=0,1,('Non-OECD Americas 2005'!$L14-'Non-OECD Americas 2005'!$J14-'Non-OECD Americas 2005'!$K14-'Non-OECD Americas 2005'!$G14-'Non-OECD Americas 2005'!$H14))</f>
        <v>0</v>
      </c>
      <c r="E128" s="40">
        <f>'Non-OECD Americas 2010'!$I14/IF(('Non-OECD Americas 2010'!$L14-'Non-OECD Americas 2010'!$J14-'Non-OECD Americas 2010'!$K14-'Non-OECD Americas 2010'!$G14-'Non-OECD Americas 2010'!$H14)=0,1,('Non-OECD Americas 2010'!$L14-'Non-OECD Americas 2010'!$J14-'Non-OECD Americas 2010'!$K14-'Non-OECD Americas 2010'!$G14-'Non-OECD Americas 2010'!$H14))</f>
        <v>0</v>
      </c>
      <c r="F128" s="40">
        <f>'Non-OECD Americas 2015'!$I14/IF(('Non-OECD Americas 2015'!$L14-'Non-OECD Americas 2015'!$J14-'Non-OECD Americas 2015'!$K14-'Non-OECD Americas 2015'!$G14-'Non-OECD Americas 2015'!$H14)=0,1,('Non-OECD Americas 2015'!$L14-'Non-OECD Americas 2015'!$J14-'Non-OECD Americas 2015'!$K14-'Non-OECD Americas 2015'!$G14-'Non-OECD Americas 2015'!$H14))</f>
        <v>0</v>
      </c>
      <c r="G128" s="40">
        <f>'Non-OECD Americas 2018'!$I14/IF(('Non-OECD Americas 2018'!$L14-'Non-OECD Americas 2018'!$J14-'Non-OECD Americas 2018'!$K14-'Non-OECD Americas 2018'!$G14-'Non-OECD Americas 2018'!$H14)=0,1,('Non-OECD Americas 2018'!$L14-'Non-OECD Americas 2018'!$J14-'Non-OECD Americas 2018'!$K14-'Non-OECD Americas 2018'!$G14-'Non-OECD Americas 2018'!$H14))</f>
        <v>0</v>
      </c>
      <c r="H128" s="77">
        <f t="shared" si="1"/>
        <v>0</v>
      </c>
      <c r="I128" s="77">
        <f t="shared" si="1"/>
        <v>0</v>
      </c>
    </row>
    <row r="129" spans="1:9" x14ac:dyDescent="0.35">
      <c r="A129" s="32" t="s">
        <v>183</v>
      </c>
      <c r="B129" s="82"/>
      <c r="C129" s="82"/>
      <c r="D129" s="82"/>
      <c r="E129" s="82"/>
      <c r="F129" s="82"/>
      <c r="G129" s="82"/>
      <c r="H129" s="42"/>
      <c r="I129" s="42"/>
    </row>
    <row r="130" spans="1:9" x14ac:dyDescent="0.35">
      <c r="A130" s="30" t="s">
        <v>142</v>
      </c>
      <c r="B130" s="40">
        <v>1</v>
      </c>
      <c r="C130" s="40">
        <v>1</v>
      </c>
      <c r="D130" s="40">
        <v>1</v>
      </c>
      <c r="E130" s="40">
        <v>1</v>
      </c>
      <c r="F130" s="40">
        <v>1</v>
      </c>
      <c r="G130" s="40">
        <v>1</v>
      </c>
      <c r="H130" s="89">
        <f>1-H131</f>
        <v>1</v>
      </c>
      <c r="I130" s="89">
        <f>1-I131</f>
        <v>1</v>
      </c>
    </row>
    <row r="131" spans="1:9" x14ac:dyDescent="0.35">
      <c r="A131" s="30" t="s">
        <v>146</v>
      </c>
      <c r="B131" s="40">
        <v>0</v>
      </c>
      <c r="C131" s="40">
        <v>0</v>
      </c>
      <c r="D131" s="40">
        <v>0</v>
      </c>
      <c r="E131" s="40">
        <v>0</v>
      </c>
      <c r="F131" s="40">
        <v>0</v>
      </c>
      <c r="G131" s="40">
        <v>0</v>
      </c>
      <c r="H131" s="77">
        <f t="shared" si="1"/>
        <v>0</v>
      </c>
      <c r="I131" s="77">
        <f t="shared" si="1"/>
        <v>0</v>
      </c>
    </row>
    <row r="132" spans="1:9" x14ac:dyDescent="0.35">
      <c r="A132" s="30"/>
      <c r="B132" s="40">
        <v>0</v>
      </c>
      <c r="C132" s="40">
        <v>0</v>
      </c>
      <c r="D132" s="40">
        <v>0</v>
      </c>
      <c r="E132" s="40">
        <v>0</v>
      </c>
      <c r="F132" s="40">
        <v>0</v>
      </c>
      <c r="G132" s="40">
        <v>0</v>
      </c>
      <c r="H132" s="77">
        <f t="shared" si="1"/>
        <v>0</v>
      </c>
      <c r="I132" s="77">
        <f t="shared" si="1"/>
        <v>0</v>
      </c>
    </row>
    <row r="133" spans="1:9" x14ac:dyDescent="0.35">
      <c r="A133" s="32" t="s">
        <v>184</v>
      </c>
      <c r="B133" s="42"/>
      <c r="C133" s="42"/>
      <c r="D133" s="42"/>
      <c r="E133" s="42"/>
      <c r="F133" s="42"/>
      <c r="G133" s="42"/>
      <c r="H133" s="42"/>
      <c r="I133" s="42"/>
    </row>
    <row r="134" spans="1:9" x14ac:dyDescent="0.35">
      <c r="A134" s="30" t="s">
        <v>185</v>
      </c>
      <c r="H134" s="77">
        <v>0</v>
      </c>
      <c r="I134" s="77">
        <v>0</v>
      </c>
    </row>
    <row r="135" spans="1:9" x14ac:dyDescent="0.35">
      <c r="A135" s="30" t="s">
        <v>186</v>
      </c>
      <c r="H135" s="77">
        <v>0</v>
      </c>
      <c r="I135" s="77">
        <v>0</v>
      </c>
    </row>
    <row r="136" spans="1:9" x14ac:dyDescent="0.35">
      <c r="A136" s="30" t="s">
        <v>245</v>
      </c>
      <c r="H136" s="77">
        <v>0</v>
      </c>
      <c r="I136" s="77">
        <v>0</v>
      </c>
    </row>
    <row r="137" spans="1:9" x14ac:dyDescent="0.35">
      <c r="A137" s="30" t="s">
        <v>188</v>
      </c>
      <c r="H137" s="77">
        <v>0</v>
      </c>
      <c r="I137" s="77">
        <v>0</v>
      </c>
    </row>
    <row r="138" spans="1:9" x14ac:dyDescent="0.35">
      <c r="A138" s="32" t="s">
        <v>189</v>
      </c>
      <c r="B138" s="42"/>
      <c r="C138" s="42"/>
      <c r="D138" s="42"/>
      <c r="E138" s="42"/>
      <c r="F138" s="42"/>
      <c r="G138" s="42"/>
      <c r="H138" s="42"/>
      <c r="I138" s="42"/>
    </row>
    <row r="139" spans="1:9" x14ac:dyDescent="0.35">
      <c r="A139" s="30" t="s">
        <v>190</v>
      </c>
      <c r="G139" s="94">
        <v>0.8</v>
      </c>
      <c r="H139" s="93">
        <f>G139</f>
        <v>0.8</v>
      </c>
      <c r="I139" s="77">
        <f t="shared" ref="I139:I142" si="5">H139</f>
        <v>0.8</v>
      </c>
    </row>
    <row r="140" spans="1:9" x14ac:dyDescent="0.35">
      <c r="A140" s="30" t="s">
        <v>191</v>
      </c>
      <c r="G140" s="94">
        <v>0.3</v>
      </c>
      <c r="H140" s="93">
        <f t="shared" ref="H140:H142" si="6">G140</f>
        <v>0.3</v>
      </c>
      <c r="I140" s="77">
        <f t="shared" si="5"/>
        <v>0.3</v>
      </c>
    </row>
    <row r="141" spans="1:9" x14ac:dyDescent="0.35">
      <c r="A141" s="30" t="s">
        <v>192</v>
      </c>
      <c r="G141" s="94">
        <v>0.95</v>
      </c>
      <c r="H141" s="93">
        <f t="shared" si="6"/>
        <v>0.95</v>
      </c>
      <c r="I141" s="77">
        <f t="shared" si="5"/>
        <v>0.95</v>
      </c>
    </row>
    <row r="142" spans="1:9" x14ac:dyDescent="0.35">
      <c r="A142" s="30" t="s">
        <v>193</v>
      </c>
      <c r="G142" s="94">
        <v>1</v>
      </c>
      <c r="H142" s="93">
        <f t="shared" si="6"/>
        <v>1</v>
      </c>
      <c r="I142" s="77">
        <f t="shared" si="5"/>
        <v>1</v>
      </c>
    </row>
  </sheetData>
  <mergeCells count="1">
    <mergeCell ref="B3:I3"/>
  </mergeCells>
  <pageMargins left="0.7" right="0.7" top="0.75" bottom="0.75" header="0.3" footer="0.3"/>
  <pageSetup paperSize="9" orientation="portrait" horizontalDpi="4294967293" verticalDpi="4294967293"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 codeName="Ark44">
    <tabColor theme="9" tint="-0.499984740745262"/>
  </sheetPr>
  <dimension ref="A1:K142"/>
  <sheetViews>
    <sheetView zoomScale="78" zoomScaleNormal="78" workbookViewId="0">
      <pane ySplit="1" topLeftCell="A88" activePane="bottomLeft" state="frozen"/>
      <selection pane="bottomLeft" activeCell="M119" sqref="M119"/>
    </sheetView>
  </sheetViews>
  <sheetFormatPr defaultRowHeight="14.5" x14ac:dyDescent="0.35"/>
  <cols>
    <col min="1" max="1" width="70" customWidth="1"/>
    <col min="2" max="2" width="9.7265625" customWidth="1"/>
    <col min="10" max="10" width="16.26953125" customWidth="1"/>
    <col min="11" max="11" width="13.7265625" customWidth="1"/>
  </cols>
  <sheetData>
    <row r="1" spans="1:11" ht="16.5" customHeight="1" x14ac:dyDescent="0.35">
      <c r="A1" t="s">
        <v>128</v>
      </c>
      <c r="B1" s="76">
        <f>(('Non-OECD Europe Eurasia 1995'!$B12+'Non-OECD Europe Eurasia 1995'!$B13+'Non-OECD Europe Eurasia 1995'!$B14+'Non-OECD Europe Eurasia 1995'!$B20-'Non-OECD Europe Eurasia 1995'!$B22+'Non-OECD Europe Eurasia 1995'!$B30)*Emissionsfaktorer!$B2*-1+('Non-OECD Europe Eurasia 1995'!$D22-'Non-OECD Europe Eurasia 1995'!$D30-'Non-OECD Europe Eurasia 1995'!$D12-'Non-OECD Europe Eurasia 1995'!$D13-'Non-OECD Europe Eurasia 1995'!$D14-'Non-OECD Europe Eurasia 1995'!$D20)*Emissionsfaktorer!$B4+('Non-OECD Europe Eurasia 1995'!$E12+'Non-OECD Europe Eurasia 1995'!$E13+'Non-OECD Europe Eurasia 1995'!$E14+'Non-OECD Europe Eurasia 1995'!$E20-'Non-OECD Europe Eurasia 1995'!$E22+'Non-OECD Europe Eurasia 1995'!$E30)*Emissionsfaktorer!$B5*-1)*0.041872</f>
        <v>2538.6105494879998</v>
      </c>
      <c r="C1" s="76">
        <f>(('Non-OECD Europe Eurasia 2000'!$B12+'Non-OECD Europe Eurasia 2000'!$B13+'Non-OECD Europe Eurasia 2000'!$B14+'Non-OECD Europe Eurasia 2000'!$B20-'Non-OECD Europe Eurasia 2000'!$B22+'Non-OECD Europe Eurasia 2000'!$B30)*Emissionsfaktorer!$B2*-1+('Non-OECD Europe Eurasia 2000'!$D22-'Non-OECD Europe Eurasia 2000'!$D30-'Non-OECD Europe Eurasia 2000'!$D12-'Non-OECD Europe Eurasia 2000'!$D13-'Non-OECD Europe Eurasia 2000'!$D14-'Non-OECD Europe Eurasia 2000'!$D20)*Emissionsfaktorer!$B4+('Non-OECD Europe Eurasia 2000'!$E12+'Non-OECD Europe Eurasia 2000'!$E13+'Non-OECD Europe Eurasia 2000'!$E14+'Non-OECD Europe Eurasia 2000'!$E20-'Non-OECD Europe Eurasia 2000'!$E22+'Non-OECD Europe Eurasia 2000'!$E30)*Emissionsfaktorer!$B5*-1)*0.041872</f>
        <v>2302.880568816</v>
      </c>
      <c r="D1" s="76">
        <f>(('Non-OECD Europe Eurasia 2005'!$B12+'Non-OECD Europe Eurasia 2005'!$B13+'Non-OECD Europe Eurasia 2005'!$B14+'Non-OECD Europe Eurasia 2005'!$B20-'Non-OECD Europe Eurasia 2005'!$B22+'Non-OECD Europe Eurasia 2005'!$B30)*Emissionsfaktorer!$B2*-1+('Non-OECD Europe Eurasia 2005'!$D22-'Non-OECD Europe Eurasia 2005'!$D30-'Non-OECD Europe Eurasia 2005'!$D12-'Non-OECD Europe Eurasia 2005'!$D13-'Non-OECD Europe Eurasia 2005'!$D14-'Non-OECD Europe Eurasia 2005'!$D20)*Emissionsfaktorer!$B4+('Non-OECD Europe Eurasia 2005'!$E12+'Non-OECD Europe Eurasia 2005'!$E13+'Non-OECD Europe Eurasia 2005'!$E14+'Non-OECD Europe Eurasia 2005'!$E20-'Non-OECD Europe Eurasia 2005'!$E22+'Non-OECD Europe Eurasia 2005'!$E30)*Emissionsfaktorer!$B5*-1)*0.041872</f>
        <v>2396.5213091199998</v>
      </c>
      <c r="E1" s="76">
        <f>(('Non-OECD Europe Eurasia 2010'!$B12+'Non-OECD Europe Eurasia 2010'!$B13+'Non-OECD Europe Eurasia 2010'!$B14+'Non-OECD Europe Eurasia 2010'!$B20-'Non-OECD Europe Eurasia 2010'!$B22+'Non-OECD Europe Eurasia 2010'!$B30)*Emissionsfaktorer!$B2*-1+('Non-OECD Europe Eurasia 2010'!$D22-'Non-OECD Europe Eurasia 2010'!$D30-'Non-OECD Europe Eurasia 2010'!$D12-'Non-OECD Europe Eurasia 2010'!$D13-'Non-OECD Europe Eurasia 2010'!$D14-'Non-OECD Europe Eurasia 2010'!$D20)*Emissionsfaktorer!$B4+('Non-OECD Europe Eurasia 2010'!$E12+'Non-OECD Europe Eurasia 2010'!$E13+'Non-OECD Europe Eurasia 2010'!$E14+'Non-OECD Europe Eurasia 2010'!$E20-'Non-OECD Europe Eurasia 2010'!$E22+'Non-OECD Europe Eurasia 2010'!$E30)*Emissionsfaktorer!$B5*-1)*0.041872</f>
        <v>2477.420232336</v>
      </c>
      <c r="F1" s="76">
        <f>(('Non-OECD Europe Eurasia 2015'!$B12+'Non-OECD Europe Eurasia 2015'!$B13+'Non-OECD Europe Eurasia 2015'!$B14+'Non-OECD Europe Eurasia 2015'!$B20-'Non-OECD Europe Eurasia 2015'!$B22+'Non-OECD Europe Eurasia 2015'!$B30)*Emissionsfaktorer!$B2*-1+('Non-OECD Europe Eurasia 2015'!$D22-'Non-OECD Europe Eurasia 2015'!$D30-'Non-OECD Europe Eurasia 2015'!$D12-'Non-OECD Europe Eurasia 2015'!$D13-'Non-OECD Europe Eurasia 2015'!$D14-'Non-OECD Europe Eurasia 2015'!$D20)*Emissionsfaktorer!$B4+('Non-OECD Europe Eurasia 2015'!$E12+'Non-OECD Europe Eurasia 2015'!$E13+'Non-OECD Europe Eurasia 2015'!$E14+'Non-OECD Europe Eurasia 2015'!$E20-'Non-OECD Europe Eurasia 2015'!$E22+'Non-OECD Europe Eurasia 2015'!$E30)*Emissionsfaktorer!$B5*-1)*0.041872</f>
        <v>2388.7509964639999</v>
      </c>
      <c r="G1" s="76">
        <f>(('Non-OECD Europe Eurasia 2018'!$B12+'Non-OECD Europe Eurasia 2018'!$B13+'Non-OECD Europe Eurasia 2018'!$B14+'Non-OECD Europe Eurasia 2018'!$B20-'Non-OECD Europe Eurasia 2018'!$B22+'Non-OECD Europe Eurasia 2018'!$B30)*Emissionsfaktorer!$B2*-1+('Non-OECD Europe Eurasia 2018'!$D22-'Non-OECD Europe Eurasia 2018'!$D30-'Non-OECD Europe Eurasia 2018'!$D12-'Non-OECD Europe Eurasia 2018'!$D13-'Non-OECD Europe Eurasia 2018'!$D14-'Non-OECD Europe Eurasia 2018'!$D20)*Emissionsfaktorer!$B4+('Non-OECD Europe Eurasia 2018'!$E12+'Non-OECD Europe Eurasia 2018'!$E13+'Non-OECD Europe Eurasia 2018'!$E14+'Non-OECD Europe Eurasia 2018'!$E20-'Non-OECD Europe Eurasia 2018'!$E22+'Non-OECD Europe Eurasia 2018'!$E30)*Emissionsfaktorer!$B5*-1)*0.041872</f>
        <v>2457.3822611200003</v>
      </c>
      <c r="H1" s="83">
        <f>'BL Non-OECD Europe Aurasia 2030'!AH8+'BL Non-OECD Europe Aurasia 2030'!AH16</f>
        <v>2450.9176530805003</v>
      </c>
      <c r="I1" s="83">
        <f>'BL Non-OECD Europe Eurasia 2050'!AH8+'BL Non-OECD Europe Eurasia 2050'!AH16</f>
        <v>2450.9176530805003</v>
      </c>
    </row>
    <row r="2" spans="1:11" ht="16.5" customHeight="1" x14ac:dyDescent="0.35">
      <c r="B2" s="76">
        <f>' KF Middle East'!B1+' KF Africa'!B1+' KF China'!B1+' KF Asia excluding China'!B1+' KF Non-OECD Americas'!B1+' KF Non-OECD Europe Eurasia '!B1+' KF OECD Europe'!B1+' KF OECD Asia Oceania'!B1+' KF OECD Americas'!B1</f>
        <v>20512.548212767997</v>
      </c>
      <c r="C2" s="76">
        <f>' KF Middle East'!C1+' KF Africa'!C1+' KF China'!C1+' KF Asia excluding China'!C1+' KF Non-OECD Americas'!C1+' KF Non-OECD Europe Eurasia '!C1+' KF OECD Europe'!C1+' KF OECD Asia Oceania'!C1+' KF OECD Americas'!C1</f>
        <v>22293.933162016001</v>
      </c>
      <c r="D2" s="76">
        <f>' KF Middle East'!D1+' KF Africa'!D1+' KF China'!D1+' KF Asia excluding China'!D1+' KF Non-OECD Americas'!D1+' KF Non-OECD Europe Eurasia '!D1+' KF OECD Europe'!D1+' KF OECD Asia Oceania'!D1+' KF OECD Americas'!D1</f>
        <v>25992.162037168</v>
      </c>
      <c r="E2" s="76">
        <f>' KF Middle East'!E1+' KF Africa'!E1+' KF China'!E1+' KF Asia excluding China'!E1+' KF Non-OECD Americas'!E1+' KF Non-OECD Europe Eurasia '!E1+' KF OECD Europe'!E1+' KF OECD Asia Oceania'!E1+' KF OECD Americas'!E1</f>
        <v>29123.978319039998</v>
      </c>
      <c r="F2" s="76">
        <f>' KF Middle East'!F1+' KF Africa'!F1+' KF China'!F1+' KF Asia excluding China'!F1+' KF Non-OECD Americas'!F1+' KF Non-OECD Europe Eurasia '!F1+' KF OECD Europe'!F1+' KF OECD Asia Oceania'!F1+' KF OECD Americas'!F1</f>
        <v>30670.019138096002</v>
      </c>
      <c r="G2" s="76">
        <f>' KF Middle East'!G1+' KF Africa'!G1+' KF China'!G1+' KF Asia excluding China'!G1+' KF Non-OECD Americas'!G1+' KF Non-OECD Europe Eurasia '!G1+' KF OECD Europe'!G1+' KF OECD Asia Oceania'!G1+' KF OECD Americas'!G1</f>
        <v>31652.588578768002</v>
      </c>
      <c r="H2" s="101">
        <f>' KF Middle East'!H1+' KF Africa'!H1+' KF China'!H1+' KF Asia excluding China'!H1+' KF Non-OECD Americas'!H1+' KF Non-OECD Europe Eurasia '!H1+' KF OECD Europe'!H1+' KF OECD Asia Oceania'!H1+' KF OECD Americas'!H1</f>
        <v>31634.759971648018</v>
      </c>
      <c r="I2" s="101">
        <f>' KF Middle East'!I1+' KF Africa'!I1+' KF China'!I1+' KF Asia excluding China'!I1+' KF Non-OECD Americas'!I1+' KF Non-OECD Europe Eurasia '!I1+' KF OECD Europe'!I1+' KF OECD Asia Oceania'!I1+' KF OECD Americas'!I1</f>
        <v>31634.759971648018</v>
      </c>
      <c r="J2" t="s">
        <v>129</v>
      </c>
    </row>
    <row r="3" spans="1:11" ht="15" customHeight="1" x14ac:dyDescent="0.35">
      <c r="B3" s="117" t="s">
        <v>130</v>
      </c>
      <c r="C3" s="117"/>
      <c r="D3" s="117"/>
      <c r="E3" s="117"/>
      <c r="F3" s="117"/>
      <c r="G3" s="117"/>
      <c r="H3" s="117"/>
      <c r="I3" s="117"/>
    </row>
    <row r="4" spans="1:11" ht="15.75" customHeight="1" x14ac:dyDescent="0.35">
      <c r="B4" s="41">
        <v>1995</v>
      </c>
      <c r="C4" s="114">
        <v>2000</v>
      </c>
      <c r="D4" s="114">
        <v>2005</v>
      </c>
      <c r="E4" s="114">
        <v>2010</v>
      </c>
      <c r="F4" s="114">
        <v>2015</v>
      </c>
      <c r="G4" s="114">
        <v>2018</v>
      </c>
      <c r="H4" s="35">
        <v>2030</v>
      </c>
      <c r="I4" s="35">
        <v>2050</v>
      </c>
    </row>
    <row r="5" spans="1:11" x14ac:dyDescent="0.35">
      <c r="A5" s="30" t="s">
        <v>131</v>
      </c>
      <c r="B5" s="7">
        <f>('Non-OECD Europe Eurasia 1995'!$L22-'Non-OECD Europe Eurasia 1995'!$L30)*0.041872*-1</f>
        <v>-28484.014208000001</v>
      </c>
      <c r="C5" s="7">
        <f>('Non-OECD Europe Eurasia 2000'!$L22-'Non-OECD Europe Eurasia 2000'!$L30)*0.041872*-1</f>
        <v>-25146.062112</v>
      </c>
      <c r="D5" s="7">
        <f>('Non-OECD Europe Eurasia 2005'!$L22-'Non-OECD Europe Eurasia 2005'!$L30)*0.041872*-1</f>
        <v>-25529.818992</v>
      </c>
      <c r="E5" s="7">
        <f>('Non-OECD Europe Eurasia 2010'!$L22-'Non-OECD Europe Eurasia 2010'!$L30)*0.041872*-1</f>
        <v>-26424.749248</v>
      </c>
      <c r="F5" s="7">
        <f>('Non-OECD Europe Eurasia 2015'!$L22-'Non-OECD Europe Eurasia 2015'!$L30)*0.041872*-1</f>
        <v>-25882.464975999999</v>
      </c>
      <c r="G5" s="7">
        <f>('Non-OECD Europe Eurasia 2018'!$L22-'Non-OECD Europe Eurasia 2018'!$L30)*0.041872*-1</f>
        <v>-28234.415216000001</v>
      </c>
      <c r="H5" s="79">
        <f>G5</f>
        <v>-28234.415216000001</v>
      </c>
      <c r="I5" s="79">
        <f>H5</f>
        <v>-28234.415216000001</v>
      </c>
      <c r="K5" s="34"/>
    </row>
    <row r="6" spans="1:11" x14ac:dyDescent="0.35">
      <c r="A6" s="31" t="s">
        <v>132</v>
      </c>
      <c r="B6" s="80"/>
      <c r="C6" s="80"/>
      <c r="D6" s="80"/>
      <c r="E6" s="80"/>
      <c r="F6" s="80"/>
      <c r="G6" s="80"/>
      <c r="H6" s="33"/>
      <c r="I6" s="33"/>
    </row>
    <row r="7" spans="1:11" x14ac:dyDescent="0.35">
      <c r="A7" s="30" t="s">
        <v>133</v>
      </c>
      <c r="B7" s="40">
        <f>('Non-OECD Europe Eurasia 1995'!$L23/B$5*0.041872*-1)</f>
        <v>0.36681641245163643</v>
      </c>
      <c r="C7" s="40">
        <f>('Non-OECD Europe Eurasia 2000'!$L23/C$5*0.041872*-1)</f>
        <v>0.34067831606571353</v>
      </c>
      <c r="D7" s="40">
        <f>('Non-OECD Europe Eurasia 2005'!$L23/D$5*0.041872*-1)</f>
        <v>0.34491258973513678</v>
      </c>
      <c r="E7" s="40">
        <f>('Non-OECD Europe Eurasia 2010'!$L23/E$5*0.041872*-1)</f>
        <v>0.3241501923674186</v>
      </c>
      <c r="F7" s="40">
        <f>('Non-OECD Europe Eurasia 2015'!$L23/F$5*0.041872*-1)</f>
        <v>0.32588779437434984</v>
      </c>
      <c r="G7" s="40">
        <f>('Non-OECD Europe Eurasia 2018'!$L23/G$5*0.041872*-1)</f>
        <v>0.30002980855787381</v>
      </c>
      <c r="H7" s="77">
        <f t="shared" ref="H7:I68" si="0">G7</f>
        <v>0.30002980855787381</v>
      </c>
      <c r="I7" s="77">
        <f>H7</f>
        <v>0.30002980855787381</v>
      </c>
    </row>
    <row r="8" spans="1:11" x14ac:dyDescent="0.35">
      <c r="A8" s="30" t="s">
        <v>134</v>
      </c>
      <c r="B8" s="40">
        <f>'Non-OECD Europe Eurasia 1995'!$L24/B$5*0.041872*-1</f>
        <v>0.16099925911116858</v>
      </c>
      <c r="C8" s="40">
        <f>'Non-OECD Europe Eurasia 2000'!$L24/C$5*0.041872*-1</f>
        <v>0.1816563593796312</v>
      </c>
      <c r="D8" s="40">
        <f>'Non-OECD Europe Eurasia 2005'!$L24/D$5*0.041872*-1</f>
        <v>0.21503466396374674</v>
      </c>
      <c r="E8" s="40">
        <f>'Non-OECD Europe Eurasia 2010'!$L24/E$5*0.041872*-1</f>
        <v>0.22943696877119368</v>
      </c>
      <c r="F8" s="40">
        <f>'Non-OECD Europe Eurasia 2015'!$L24/F$5*0.041872*-1</f>
        <v>0.22947973979709871</v>
      </c>
      <c r="G8" s="40">
        <f>'Non-OECD Europe Eurasia 2018'!$L24/G$5*0.041872*-1</f>
        <v>0.23119873410024869</v>
      </c>
      <c r="H8" s="77">
        <f t="shared" si="0"/>
        <v>0.23119873410024869</v>
      </c>
      <c r="I8" s="77">
        <f t="shared" si="0"/>
        <v>0.23119873410024869</v>
      </c>
    </row>
    <row r="9" spans="1:11" x14ac:dyDescent="0.35">
      <c r="A9" s="30" t="s">
        <v>135</v>
      </c>
      <c r="B9" s="40">
        <f>'Non-OECD Europe Eurasia 1995'!$L25/B$5*0.041872*-1</f>
        <v>0.31379435042865711</v>
      </c>
      <c r="C9" s="40">
        <f>'Non-OECD Europe Eurasia 2000'!$L25/C$5*0.041872*-1</f>
        <v>0.35066422888504789</v>
      </c>
      <c r="D9" s="40">
        <f>'Non-OECD Europe Eurasia 2005'!$L25/D$5*0.041872*-1</f>
        <v>0.29966820346032791</v>
      </c>
      <c r="E9" s="40">
        <f>'Non-OECD Europe Eurasia 2010'!$L25/E$5*0.041872*-1</f>
        <v>0.30120396017012002</v>
      </c>
      <c r="F9" s="40">
        <f>'Non-OECD Europe Eurasia 2015'!$L25/F$5*0.041872*-1</f>
        <v>0.29869947082585785</v>
      </c>
      <c r="G9" s="40">
        <f>'Non-OECD Europe Eurasia 2018'!$L25/G$5*0.041872*-1</f>
        <v>0.32948244335261745</v>
      </c>
      <c r="H9" s="89">
        <f>1-H7-H8-H10-H11-H12-H13</f>
        <v>0.32948392636544699</v>
      </c>
      <c r="I9" s="89">
        <f>1-I7-I8-I10-I11-I12-I13</f>
        <v>0.32948392636544699</v>
      </c>
    </row>
    <row r="10" spans="1:11" x14ac:dyDescent="0.35">
      <c r="A10" s="30" t="s">
        <v>136</v>
      </c>
      <c r="B10" s="40">
        <f>'Non-OECD Europe Eurasia 1995'!$L26/B$5*0.041872*-1</f>
        <v>5.9413698211282673E-2</v>
      </c>
      <c r="C10" s="40">
        <f>'Non-OECD Europe Eurasia 2000'!$L26/C$5*0.041872*-1</f>
        <v>6.1264249532925037E-2</v>
      </c>
      <c r="D10" s="40">
        <f>'Non-OECD Europe Eurasia 2005'!$L26/D$5*0.041872*-1</f>
        <v>8.5481482210424273E-2</v>
      </c>
      <c r="E10" s="40">
        <f>'Non-OECD Europe Eurasia 2010'!$L26/E$5*0.041872*-1</f>
        <v>0.10050959935602867</v>
      </c>
      <c r="F10" s="40">
        <f>'Non-OECD Europe Eurasia 2015'!$L26/F$5*0.041872*-1</f>
        <v>0.10212850632469066</v>
      </c>
      <c r="G10" s="40">
        <f>'Non-OECD Europe Eurasia 2018'!$L26/G$5*0.041872*-1</f>
        <v>0.1004770852272643</v>
      </c>
      <c r="H10" s="88">
        <f t="shared" si="0"/>
        <v>0.1004770852272643</v>
      </c>
      <c r="I10" s="88">
        <f t="shared" si="0"/>
        <v>0.1004770852272643</v>
      </c>
    </row>
    <row r="11" spans="1:11" x14ac:dyDescent="0.35">
      <c r="A11" s="30" t="s">
        <v>137</v>
      </c>
      <c r="B11" s="40">
        <f>'Non-OECD Europe Eurasia 1995'!$L27/B$5*0.041872*-1</f>
        <v>5.1441793186174777E-2</v>
      </c>
      <c r="C11" s="40">
        <f>'Non-OECD Europe Eurasia 2000'!$L27/C$5*0.041872*-1</f>
        <v>3.6280318243731541E-2</v>
      </c>
      <c r="D11" s="40">
        <f>'Non-OECD Europe Eurasia 2005'!$L27/D$5*0.041872*-1</f>
        <v>2.9969936576509197E-2</v>
      </c>
      <c r="E11" s="40">
        <f>'Non-OECD Europe Eurasia 2010'!$L27/E$5*0.041872*-1</f>
        <v>2.5031533044729389E-2</v>
      </c>
      <c r="F11" s="40">
        <f>'Non-OECD Europe Eurasia 2015'!$L27/F$5*0.041872*-1</f>
        <v>2.5837481577589291E-2</v>
      </c>
      <c r="G11" s="40">
        <f>'Non-OECD Europe Eurasia 2018'!$L27/G$5*0.041872*-1</f>
        <v>2.6298266506303545E-2</v>
      </c>
      <c r="H11" s="88">
        <f t="shared" si="0"/>
        <v>2.6298266506303545E-2</v>
      </c>
      <c r="I11" s="88">
        <f t="shared" si="0"/>
        <v>2.6298266506303545E-2</v>
      </c>
    </row>
    <row r="12" spans="1:11" x14ac:dyDescent="0.35">
      <c r="A12" s="30" t="s">
        <v>138</v>
      </c>
      <c r="B12" s="40">
        <f>'Non-OECD Europe Eurasia 1995'!$L28/B$5*0.041872*-1</f>
        <v>0</v>
      </c>
      <c r="C12" s="40">
        <f>'Non-OECD Europe Eurasia 2000'!$L28/C$5*0.041872*-1</f>
        <v>9.6578779976887693E-5</v>
      </c>
      <c r="D12" s="40">
        <f>'Non-OECD Europe Eurasia 2005'!$L28/D$5*0.041872*-1</f>
        <v>1.1218429715061724E-3</v>
      </c>
      <c r="E12" s="40">
        <f>'Non-OECD Europe Eurasia 2010'!$L28/E$5*0.041872*-1</f>
        <v>1.4895006053076928E-3</v>
      </c>
      <c r="F12" s="40">
        <f>'Non-OECD Europe Eurasia 2015'!$L28/F$5*0.041872*-1</f>
        <v>9.9493151150318779E-4</v>
      </c>
      <c r="G12" s="40">
        <f>'Non-OECD Europe Eurasia 2018'!$L28/G$5*0.041872*-1</f>
        <v>1.2531458409646701E-3</v>
      </c>
      <c r="H12" s="88">
        <f t="shared" si="0"/>
        <v>1.2531458409646701E-3</v>
      </c>
      <c r="I12" s="88">
        <f t="shared" si="0"/>
        <v>1.2531458409646701E-3</v>
      </c>
    </row>
    <row r="13" spans="1:11" x14ac:dyDescent="0.35">
      <c r="A13" s="30" t="s">
        <v>139</v>
      </c>
      <c r="B13" s="40">
        <f>'Non-OECD Europe Eurasia 1995'!$L29/B$5*0.041872*-1</f>
        <v>4.7535956628603007E-2</v>
      </c>
      <c r="C13" s="40">
        <f>'Non-OECD Europe Eurasia 2000'!$L29/C$5*0.041872*-1</f>
        <v>2.9358283961594948E-2</v>
      </c>
      <c r="D13" s="40">
        <f>'Non-OECD Europe Eurasia 2005'!$L29/D$5*0.041872*-1</f>
        <v>2.3811281082348847E-2</v>
      </c>
      <c r="E13" s="40">
        <f>'Non-OECD Europe Eurasia 2010'!$L29/E$5*0.041872*-1</f>
        <v>1.8178245685201971E-2</v>
      </c>
      <c r="F13" s="40">
        <f>'Non-OECD Europe Eurasia 2015'!$L29/F$5*0.041872*-1</f>
        <v>1.6973693363725929E-2</v>
      </c>
      <c r="G13" s="40">
        <f>'Non-OECD Europe Eurasia 2018'!$L29/G$5*0.041872*-1</f>
        <v>1.1259033401897959E-2</v>
      </c>
      <c r="H13" s="88">
        <f t="shared" si="0"/>
        <v>1.1259033401897959E-2</v>
      </c>
      <c r="I13" s="88">
        <f t="shared" si="0"/>
        <v>1.1259033401897959E-2</v>
      </c>
    </row>
    <row r="14" spans="1:11" x14ac:dyDescent="0.35">
      <c r="A14" s="31" t="s">
        <v>140</v>
      </c>
      <c r="B14" s="81"/>
      <c r="C14" s="81"/>
      <c r="D14" s="81"/>
      <c r="E14" s="81"/>
      <c r="F14" s="81"/>
      <c r="G14" s="81"/>
      <c r="H14" s="42"/>
      <c r="I14" s="42"/>
    </row>
    <row r="15" spans="1:11" x14ac:dyDescent="0.35">
      <c r="A15" s="30" t="s">
        <v>141</v>
      </c>
      <c r="B15" s="40">
        <f>'Non-OECD Europe Eurasia 1995'!$B23/'Non-OECD Europe Eurasia 1995'!$L23</f>
        <v>0.13823076799769168</v>
      </c>
      <c r="C15" s="40">
        <f>'Non-OECD Europe Eurasia 2000'!$B23/'Non-OECD Europe Eurasia 2000'!$L23</f>
        <v>0.10014027850415215</v>
      </c>
      <c r="D15" s="40">
        <f>'Non-OECD Europe Eurasia 2005'!$B23/'Non-OECD Europe Eurasia 2005'!$L23</f>
        <v>0.11777628782150958</v>
      </c>
      <c r="E15" s="40">
        <f>'Non-OECD Europe Eurasia 2010'!$B23/'Non-OECD Europe Eurasia 2010'!$L23</f>
        <v>0.14531740367411985</v>
      </c>
      <c r="F15" s="40">
        <f>'Non-OECD Europe Eurasia 2015'!$B23/'Non-OECD Europe Eurasia 2015'!$L23</f>
        <v>0.1852443879627883</v>
      </c>
      <c r="G15" s="40">
        <f>'Non-OECD Europe Eurasia 2018'!$B23/'Non-OECD Europe Eurasia 2018'!$L23</f>
        <v>0.1896238958830711</v>
      </c>
      <c r="H15" s="77">
        <f t="shared" si="0"/>
        <v>0.1896238958830711</v>
      </c>
      <c r="I15" s="77">
        <f t="shared" si="0"/>
        <v>0.1896238958830711</v>
      </c>
    </row>
    <row r="16" spans="1:11" x14ac:dyDescent="0.35">
      <c r="A16" s="30" t="s">
        <v>142</v>
      </c>
      <c r="B16" s="40">
        <f>'Non-OECD Europe Eurasia 1995'!$C23/'Non-OECD Europe Eurasia 1995'!$L23</f>
        <v>1.5228507766538961E-4</v>
      </c>
      <c r="C16" s="40">
        <f>'Non-OECD Europe Eurasia 2000'!$C23/'Non-OECD Europe Eurasia 2000'!$L23</f>
        <v>2.2483662686406672E-4</v>
      </c>
      <c r="D16" s="40">
        <f>'Non-OECD Europe Eurasia 2005'!$C23/'Non-OECD Europe Eurasia 2005'!$L23</f>
        <v>1.8069682401555896E-4</v>
      </c>
      <c r="E16" s="40">
        <f>'Non-OECD Europe Eurasia 2010'!$C23/'Non-OECD Europe Eurasia 2010'!$L23</f>
        <v>2.1362298720217438E-3</v>
      </c>
      <c r="F16" s="40">
        <f>'Non-OECD Europe Eurasia 2015'!$C23/'Non-OECD Europe Eurasia 2015'!$L23</f>
        <v>2.6260660636808612E-3</v>
      </c>
      <c r="G16" s="40">
        <f>'Non-OECD Europe Eurasia 2018'!$C23/'Non-OECD Europe Eurasia 2018'!$L23</f>
        <v>1.4828654892714682E-4</v>
      </c>
      <c r="H16" s="77">
        <f t="shared" si="0"/>
        <v>1.4828654892714682E-4</v>
      </c>
      <c r="I16" s="77">
        <f t="shared" si="0"/>
        <v>1.4828654892714682E-4</v>
      </c>
    </row>
    <row r="17" spans="1:9" x14ac:dyDescent="0.35">
      <c r="A17" s="30" t="s">
        <v>143</v>
      </c>
      <c r="B17" s="40">
        <f>'Non-OECD Europe Eurasia 1995'!$D23/'Non-OECD Europe Eurasia 1995'!$L23</f>
        <v>8.97920907939663E-2</v>
      </c>
      <c r="C17" s="40">
        <f>'Non-OECD Europe Eurasia 2000'!$D23/'Non-OECD Europe Eurasia 2000'!$L23</f>
        <v>0.1193149325734507</v>
      </c>
      <c r="D17" s="40">
        <f>'Non-OECD Europe Eurasia 2005'!$D23/'Non-OECD Europe Eurasia 2005'!$L23</f>
        <v>9.1470634388507679E-2</v>
      </c>
      <c r="E17" s="40">
        <f>'Non-OECD Europe Eurasia 2010'!$D23/'Non-OECD Europe Eurasia 2010'!$L23</f>
        <v>8.3405844568501114E-2</v>
      </c>
      <c r="F17" s="40">
        <f>'Non-OECD Europe Eurasia 2015'!$D23/'Non-OECD Europe Eurasia 2015'!$L23</f>
        <v>0.10894947429036646</v>
      </c>
      <c r="G17" s="40">
        <f>'Non-OECD Europe Eurasia 2018'!$D23/'Non-OECD Europe Eurasia 2018'!$L23</f>
        <v>7.1716317946132438E-2</v>
      </c>
      <c r="H17" s="77">
        <f t="shared" si="0"/>
        <v>7.1716317946132438E-2</v>
      </c>
      <c r="I17" s="77">
        <f t="shared" si="0"/>
        <v>7.1716317946132438E-2</v>
      </c>
    </row>
    <row r="18" spans="1:9" x14ac:dyDescent="0.35">
      <c r="A18" s="30" t="s">
        <v>241</v>
      </c>
      <c r="B18" s="40">
        <f>'Non-OECD Europe Eurasia 1995'!$E23/'Non-OECD Europe Eurasia 1995'!$L23</f>
        <v>0.23370148918775949</v>
      </c>
      <c r="C18" s="40">
        <f>'Non-OECD Europe Eurasia 2000'!$E23/'Non-OECD Europe Eurasia 2000'!$L23</f>
        <v>0.26249676186379789</v>
      </c>
      <c r="D18" s="40">
        <f>'Non-OECD Europe Eurasia 2005'!$E23/'Non-OECD Europe Eurasia 2005'!$L23</f>
        <v>0.27334674293974714</v>
      </c>
      <c r="E18" s="40">
        <f>'Non-OECD Europe Eurasia 2010'!$E23/'Non-OECD Europe Eurasia 2010'!$L23</f>
        <v>0.27179981033016237</v>
      </c>
      <c r="F18" s="40">
        <f>'Non-OECD Europe Eurasia 2015'!$E23/'Non-OECD Europe Eurasia 2015'!$L23</f>
        <v>0.25442559148539035</v>
      </c>
      <c r="G18" s="40">
        <f>'Non-OECD Europe Eurasia 2018'!$E23/'Non-OECD Europe Eurasia 2018'!$L23</f>
        <v>0.26981726154287211</v>
      </c>
      <c r="H18" s="77">
        <f t="shared" si="0"/>
        <v>0.26981726154287211</v>
      </c>
      <c r="I18" s="77">
        <f t="shared" si="0"/>
        <v>0.26981726154287211</v>
      </c>
    </row>
    <row r="19" spans="1:9" x14ac:dyDescent="0.35">
      <c r="A19" s="30" t="s">
        <v>145</v>
      </c>
      <c r="B19" s="40">
        <f>'Non-OECD Europe Eurasia 1995'!$H23/'Non-OECD Europe Eurasia 1995'!$L23</f>
        <v>0</v>
      </c>
      <c r="C19" s="40">
        <f>'Non-OECD Europe Eurasia 2000'!$H23/'Non-OECD Europe Eurasia 2000'!$L23</f>
        <v>0</v>
      </c>
      <c r="D19" s="40">
        <f>'Non-OECD Europe Eurasia 2005'!$H23/'Non-OECD Europe Eurasia 2005'!$L23</f>
        <v>4.7551795793568147E-6</v>
      </c>
      <c r="E19" s="40">
        <f>'Non-OECD Europe Eurasia 2010'!$H23/'Non-OECD Europe Eurasia 2010'!$L23</f>
        <v>1.4665193629439887E-5</v>
      </c>
      <c r="F19" s="40">
        <f>'Non-OECD Europe Eurasia 2015'!$H23/'Non-OECD Europe Eurasia 2015'!$L23</f>
        <v>4.9642080598882059E-6</v>
      </c>
      <c r="G19" s="40">
        <f>'Non-OECD Europe Eurasia 2018'!$H23/'Non-OECD Europe Eurasia 2018'!$L23</f>
        <v>9.885769928476454E-6</v>
      </c>
      <c r="H19" s="77">
        <f t="shared" si="0"/>
        <v>9.885769928476454E-6</v>
      </c>
      <c r="I19" s="77">
        <f t="shared" si="0"/>
        <v>9.885769928476454E-6</v>
      </c>
    </row>
    <row r="20" spans="1:9" x14ac:dyDescent="0.35">
      <c r="A20" s="30" t="s">
        <v>146</v>
      </c>
      <c r="B20" s="40">
        <f>'Non-OECD Europe Eurasia 1995'!$I23/'Non-OECD Europe Eurasia 1995'!$L23</f>
        <v>3.8191494477662182E-3</v>
      </c>
      <c r="C20" s="40">
        <f>'Non-OECD Europe Eurasia 2000'!$I23/'Non-OECD Europe Eurasia 2000'!$L23</f>
        <v>5.6258034243595826E-3</v>
      </c>
      <c r="D20" s="40">
        <f>'Non-OECD Europe Eurasia 2005'!$I23/'Non-OECD Europe Eurasia 2005'!$L23</f>
        <v>5.5397842099506886E-3</v>
      </c>
      <c r="E20" s="40">
        <f>'Non-OECD Europe Eurasia 2010'!$I23/'Non-OECD Europe Eurasia 2010'!$L23</f>
        <v>5.0790453936626814E-3</v>
      </c>
      <c r="F20" s="40">
        <f>'Non-OECD Europe Eurasia 2015'!$I23/'Non-OECD Europe Eurasia 2015'!$L23</f>
        <v>9.4319953137875917E-3</v>
      </c>
      <c r="G20" s="40">
        <f>'Non-OECD Europe Eurasia 2018'!$I23/'Non-OECD Europe Eurasia 2018'!$L23</f>
        <v>1.3993307333758422E-2</v>
      </c>
      <c r="H20" s="77">
        <f t="shared" si="0"/>
        <v>1.3993307333758422E-2</v>
      </c>
      <c r="I20" s="77">
        <f t="shared" si="0"/>
        <v>1.3993307333758422E-2</v>
      </c>
    </row>
    <row r="21" spans="1:9" x14ac:dyDescent="0.35">
      <c r="A21" s="30" t="s">
        <v>147</v>
      </c>
      <c r="B21" s="40">
        <f>'Non-OECD Europe Eurasia 1995'!$J23/'Non-OECD Europe Eurasia 1995'!$L23</f>
        <v>0.17301588573810173</v>
      </c>
      <c r="C21" s="40">
        <f>'Non-OECD Europe Eurasia 2000'!$J23/'Non-OECD Europe Eurasia 2000'!$L23</f>
        <v>0.20184463789083693</v>
      </c>
      <c r="D21" s="40">
        <f>'Non-OECD Europe Eurasia 2005'!$J23/'Non-OECD Europe Eurasia 2005'!$L23</f>
        <v>0.21970831728460224</v>
      </c>
      <c r="E21" s="40">
        <f>'Non-OECD Europe Eurasia 2010'!$J23/'Non-OECD Europe Eurasia 2010'!$L23</f>
        <v>0.22248565255223254</v>
      </c>
      <c r="F21" s="40">
        <f>'Non-OECD Europe Eurasia 2015'!$J23/'Non-OECD Europe Eurasia 2015'!$L23</f>
        <v>0.22275394406330359</v>
      </c>
      <c r="G21" s="40">
        <f>'Non-OECD Europe Eurasia 2018'!$J23/'Non-OECD Europe Eurasia 2018'!$L23</f>
        <v>0.23212282080559138</v>
      </c>
      <c r="H21" s="89">
        <f>1-H15-H16-H17-H18-H19-H20-H22</f>
        <v>0.23211787792062707</v>
      </c>
      <c r="I21" s="89">
        <f>1-I15-I16-I17-I18-I19-I20-I22</f>
        <v>0.23211787792062707</v>
      </c>
    </row>
    <row r="22" spans="1:9" x14ac:dyDescent="0.35">
      <c r="A22" s="30" t="s">
        <v>148</v>
      </c>
      <c r="B22" s="40">
        <f>'Non-OECD Europe Eurasia 1995'!$K23/'Non-OECD Europe Eurasia 1995'!$L23</f>
        <v>0.3612843242550054</v>
      </c>
      <c r="C22" s="40">
        <f>'Non-OECD Europe Eurasia 2000'!$K23/'Non-OECD Europe Eurasia 2000'!$L23</f>
        <v>0.31035274911653871</v>
      </c>
      <c r="D22" s="40">
        <f>'Non-OECD Europe Eurasia 2005'!$K23/'Non-OECD Europe Eurasia 2005'!$L23</f>
        <v>0.29198229171124646</v>
      </c>
      <c r="E22" s="40">
        <f>'Non-OECD Europe Eurasia 2010'!$K23/'Non-OECD Europe Eurasia 2010'!$L23</f>
        <v>0.26976134841567023</v>
      </c>
      <c r="F22" s="40">
        <f>'Non-OECD Europe Eurasia 2015'!$K23/'Non-OECD Europe Eurasia 2015'!$L23</f>
        <v>0.21655364819650322</v>
      </c>
      <c r="G22" s="40">
        <f>'Non-OECD Europe Eurasia 2018'!$K23/'Non-OECD Europe Eurasia 2018'!$L23</f>
        <v>0.22257316705468314</v>
      </c>
      <c r="H22" s="77">
        <f t="shared" si="0"/>
        <v>0.22257316705468314</v>
      </c>
      <c r="I22" s="77">
        <f t="shared" si="0"/>
        <v>0.22257316705468314</v>
      </c>
    </row>
    <row r="23" spans="1:9" x14ac:dyDescent="0.35">
      <c r="A23" s="31" t="s">
        <v>149</v>
      </c>
      <c r="B23" s="81"/>
      <c r="C23" s="81"/>
      <c r="D23" s="81"/>
      <c r="E23" s="81"/>
      <c r="F23" s="81"/>
      <c r="G23" s="81"/>
      <c r="H23" s="42"/>
      <c r="I23" s="42"/>
    </row>
    <row r="24" spans="1:9" x14ac:dyDescent="0.35">
      <c r="A24" s="30" t="s">
        <v>141</v>
      </c>
      <c r="B24" s="40">
        <f>'Non-OECD Europe Eurasia 1995'!$B24/'Non-OECD Europe Eurasia 1995'!$L24</f>
        <v>1.5521995580796552E-4</v>
      </c>
      <c r="C24" s="40">
        <f>'Non-OECD Europe Eurasia 2000'!$B24/'Non-OECD Europe Eurasia 2000'!$L24</f>
        <v>6.4165436829127442E-5</v>
      </c>
      <c r="D24" s="40">
        <f>'Non-OECD Europe Eurasia 2005'!$B24/'Non-OECD Europe Eurasia 2005'!$L24</f>
        <v>4.5763448733496557E-4</v>
      </c>
      <c r="E24" s="40">
        <f>'Non-OECD Europe Eurasia 2010'!$B24/'Non-OECD Europe Eurasia 2010'!$L24</f>
        <v>2.5553545036396534E-4</v>
      </c>
      <c r="F24" s="40">
        <f>'Non-OECD Europe Eurasia 2015'!$B24/'Non-OECD Europe Eurasia 2015'!$L24</f>
        <v>9.1646751122672696E-5</v>
      </c>
      <c r="G24" s="40">
        <f>'Non-OECD Europe Eurasia 2018'!$B24/'Non-OECD Europe Eurasia 2018'!$L24</f>
        <v>1.0263120758444624E-4</v>
      </c>
      <c r="H24" s="77">
        <f t="shared" si="0"/>
        <v>1.0263120758444624E-4</v>
      </c>
      <c r="I24" s="77">
        <f t="shared" si="0"/>
        <v>1.0263120758444624E-4</v>
      </c>
    </row>
    <row r="25" spans="1:9" x14ac:dyDescent="0.35">
      <c r="A25" s="30" t="s">
        <v>143</v>
      </c>
      <c r="B25" s="40">
        <f>'Non-OECD Europe Eurasia 1995'!$D24/'Non-OECD Europe Eurasia 1995'!$L24</f>
        <v>0.61364839940833804</v>
      </c>
      <c r="C25" s="40">
        <f>'Non-OECD Europe Eurasia 2000'!$D24/'Non-OECD Europe Eurasia 2000'!$L24</f>
        <v>0.63572364863006792</v>
      </c>
      <c r="D25" s="40">
        <f>'Non-OECD Europe Eurasia 2005'!$D24/'Non-OECD Europe Eurasia 2005'!$L24</f>
        <v>0.62011761206324512</v>
      </c>
      <c r="E25" s="40">
        <f>'Non-OECD Europe Eurasia 2010'!$D24/'Non-OECD Europe Eurasia 2010'!$L24</f>
        <v>0.66478583366714095</v>
      </c>
      <c r="F25" s="40">
        <f>'Non-OECD Europe Eurasia 2015'!$D24/'Non-OECD Europe Eurasia 2015'!$L24</f>
        <v>0.70393164562316268</v>
      </c>
      <c r="G25" s="40">
        <f>'Non-OECD Europe Eurasia 2018'!$D24/'Non-OECD Europe Eurasia 2018'!$L24</f>
        <v>0.68496709386906829</v>
      </c>
      <c r="H25" s="89">
        <f>1-H24-H26-H27-H28-H29-H30</f>
        <v>0.6849799227700164</v>
      </c>
      <c r="I25" s="89">
        <f>1-I24-I26-I27-I28-I29-I30</f>
        <v>0.6849799227700164</v>
      </c>
    </row>
    <row r="26" spans="1:9" x14ac:dyDescent="0.35">
      <c r="A26" s="30" t="s">
        <v>241</v>
      </c>
      <c r="B26" s="40">
        <f>'Non-OECD Europe Eurasia 1995'!$E24/'Non-OECD Europe Eurasia 1995'!$L24</f>
        <v>0.31693175800295831</v>
      </c>
      <c r="C26" s="40">
        <f>'Non-OECD Europe Eurasia 2000'!$E24/'Non-OECD Europe Eurasia 2000'!$L24</f>
        <v>0.30165088502470372</v>
      </c>
      <c r="D26" s="40">
        <f>'Non-OECD Europe Eurasia 2005'!$E24/'Non-OECD Europe Eurasia 2005'!$L24</f>
        <v>0.31138213242416612</v>
      </c>
      <c r="E26" s="40">
        <f>'Non-OECD Europe Eurasia 2010'!$E24/'Non-OECD Europe Eurasia 2010'!$L24</f>
        <v>0.27198640827658604</v>
      </c>
      <c r="F26" s="40">
        <f>'Non-OECD Europe Eurasia 2015'!$E24/'Non-OECD Europe Eurasia 2015'!$L24</f>
        <v>0.23359346911151999</v>
      </c>
      <c r="G26" s="40">
        <f>'Non-OECD Europe Eurasia 2018'!$E24/'Non-OECD Europe Eurasia 2018'!$L24</f>
        <v>0.25644331550116101</v>
      </c>
      <c r="H26" s="90">
        <f t="shared" si="0"/>
        <v>0.25644331550116101</v>
      </c>
      <c r="I26" s="90">
        <f t="shared" si="0"/>
        <v>0.25644331550116101</v>
      </c>
    </row>
    <row r="27" spans="1:9" x14ac:dyDescent="0.35">
      <c r="A27" s="30" t="s">
        <v>145</v>
      </c>
      <c r="B27" s="40">
        <f>'Non-OECD Europe Eurasia 1995'!$H24/'Non-OECD Europe Eurasia 1995'!$L24</f>
        <v>0</v>
      </c>
      <c r="C27" s="40">
        <f>'Non-OECD Europe Eurasia 2000'!$H24/'Non-OECD Europe Eurasia 2000'!$L24</f>
        <v>0</v>
      </c>
      <c r="D27" s="40">
        <f>'Non-OECD Europe Eurasia 2005'!$H24/'Non-OECD Europe Eurasia 2005'!$L24</f>
        <v>0</v>
      </c>
      <c r="E27" s="40">
        <f>'Non-OECD Europe Eurasia 2010'!$H24/'Non-OECD Europe Eurasia 2010'!$L24</f>
        <v>0</v>
      </c>
      <c r="F27" s="40">
        <f>'Non-OECD Europe Eurasia 2015'!$H24/'Non-OECD Europe Eurasia 2015'!$L24</f>
        <v>0</v>
      </c>
      <c r="G27" s="40">
        <f>'Non-OECD Europe Eurasia 2018'!$H24/'Non-OECD Europe Eurasia 2018'!$L24</f>
        <v>0</v>
      </c>
      <c r="H27" s="77">
        <f t="shared" si="0"/>
        <v>0</v>
      </c>
      <c r="I27" s="77">
        <f t="shared" si="0"/>
        <v>0</v>
      </c>
    </row>
    <row r="28" spans="1:9" x14ac:dyDescent="0.35">
      <c r="A28" s="30" t="s">
        <v>146</v>
      </c>
      <c r="B28" s="40">
        <f>'Non-OECD Europe Eurasia 1995'!$I24/'Non-OECD Europe Eurasia 1995'!$L24</f>
        <v>5.4783513814576065E-5</v>
      </c>
      <c r="C28" s="40">
        <f>'Non-OECD Europe Eurasia 2000'!$I24/'Non-OECD Europe Eurasia 2000'!$L24</f>
        <v>0</v>
      </c>
      <c r="D28" s="40">
        <f>'Non-OECD Europe Eurasia 2005'!$I24/'Non-OECD Europe Eurasia 2005'!$L24</f>
        <v>7.6272414555827592E-6</v>
      </c>
      <c r="E28" s="40">
        <f>'Non-OECD Europe Eurasia 2010'!$I24/'Non-OECD Europe Eurasia 2010'!$L24</f>
        <v>1.0981118002127159E-3</v>
      </c>
      <c r="F28" s="40">
        <f>'Non-OECD Europe Eurasia 2015'!$I24/'Non-OECD Europe Eurasia 2015'!$L24</f>
        <v>3.2217357894662635E-3</v>
      </c>
      <c r="G28" s="40">
        <f>'Non-OECD Europe Eurasia 2018'!$I24/'Non-OECD Europe Eurasia 2018'!$L24</f>
        <v>4.2014650604882678E-3</v>
      </c>
      <c r="H28" s="77">
        <f t="shared" si="0"/>
        <v>4.2014650604882678E-3</v>
      </c>
      <c r="I28" s="77">
        <f t="shared" si="0"/>
        <v>4.2014650604882678E-3</v>
      </c>
    </row>
    <row r="29" spans="1:9" x14ac:dyDescent="0.35">
      <c r="A29" s="30" t="s">
        <v>147</v>
      </c>
      <c r="B29" s="40">
        <f>'Non-OECD Europe Eurasia 1995'!$J24/'Non-OECD Europe Eurasia 1995'!$L24</f>
        <v>6.9118533262723478E-2</v>
      </c>
      <c r="C29" s="40">
        <f>'Non-OECD Europe Eurasia 2000'!$J24/'Non-OECD Europe Eurasia 2000'!$L24</f>
        <v>6.2460469507667767E-2</v>
      </c>
      <c r="D29" s="40">
        <f>'Non-OECD Europe Eurasia 2005'!$J24/'Non-OECD Europe Eurasia 2005'!$L24</f>
        <v>6.7890076196142138E-2</v>
      </c>
      <c r="E29" s="40">
        <f>'Non-OECD Europe Eurasia 2010'!$J24/'Non-OECD Europe Eurasia 2010'!$L24</f>
        <v>6.1874110805696367E-2</v>
      </c>
      <c r="F29" s="40">
        <f>'Non-OECD Europe Eurasia 2015'!$J24/'Non-OECD Europe Eurasia 2015'!$L24</f>
        <v>5.9133303724382968E-2</v>
      </c>
      <c r="G29" s="40">
        <f>'Non-OECD Europe Eurasia 2018'!$J24/'Non-OECD Europe Eurasia 2018'!$L24</f>
        <v>5.4272665460749978E-2</v>
      </c>
      <c r="H29" s="77">
        <f>G29</f>
        <v>5.4272665460749978E-2</v>
      </c>
      <c r="I29" s="77">
        <f t="shared" si="0"/>
        <v>5.4272665460749978E-2</v>
      </c>
    </row>
    <row r="30" spans="1:9" x14ac:dyDescent="0.35">
      <c r="A30" s="30" t="s">
        <v>148</v>
      </c>
      <c r="B30" s="40">
        <f>'Non-OECD Europe Eurasia 1995'!$K24/'Non-OECD Europe Eurasia 1995'!$L24</f>
        <v>0</v>
      </c>
      <c r="C30" s="40">
        <f>'Non-OECD Europe Eurasia 2000'!$K24/'Non-OECD Europe Eurasia 2000'!$L24</f>
        <v>0</v>
      </c>
      <c r="D30" s="40">
        <f>'Non-OECD Europe Eurasia 2005'!$K24/'Non-OECD Europe Eurasia 2005'!$L24</f>
        <v>0</v>
      </c>
      <c r="E30" s="40">
        <f>'Non-OECD Europe Eurasia 2010'!$K24/'Non-OECD Europe Eurasia 2010'!$L24</f>
        <v>0</v>
      </c>
      <c r="F30" s="40">
        <f>'Non-OECD Europe Eurasia 2015'!$K24/'Non-OECD Europe Eurasia 2015'!$L24</f>
        <v>0</v>
      </c>
      <c r="G30" s="40">
        <f>'Non-OECD Europe Eurasia 2018'!$K24/'Non-OECD Europe Eurasia 2018'!$L24</f>
        <v>0</v>
      </c>
      <c r="H30" s="77">
        <f t="shared" si="0"/>
        <v>0</v>
      </c>
      <c r="I30" s="77">
        <f t="shared" si="0"/>
        <v>0</v>
      </c>
    </row>
    <row r="31" spans="1:9" x14ac:dyDescent="0.35">
      <c r="A31" s="31" t="s">
        <v>150</v>
      </c>
      <c r="B31" s="81"/>
      <c r="C31" s="81"/>
      <c r="D31" s="81"/>
      <c r="E31" s="81"/>
      <c r="F31" s="81"/>
      <c r="G31" s="81"/>
      <c r="H31" s="42"/>
      <c r="I31" s="42"/>
    </row>
    <row r="32" spans="1:9" x14ac:dyDescent="0.35">
      <c r="A32" s="30" t="s">
        <v>141</v>
      </c>
      <c r="B32" s="40">
        <f>'Non-OECD Europe Eurasia 1995'!$B$25/'Non-OECD Europe Eurasia 1995'!$L$25</f>
        <v>6.574441472292622E-2</v>
      </c>
      <c r="C32" s="40">
        <f>'Non-OECD Europe Eurasia 2000'!$B$25/'Non-OECD Europe Eurasia 2000'!$L$25</f>
        <v>6.0306757205945201E-2</v>
      </c>
      <c r="D32" s="40">
        <f>'Non-OECD Europe Eurasia 2005'!$B$25/'Non-OECD Europe Eurasia 2005'!$L$25</f>
        <v>2.3408552303911642E-2</v>
      </c>
      <c r="E32" s="40">
        <f>'Non-OECD Europe Eurasia 2010'!$B$25/'Non-OECD Europe Eurasia 2010'!$L$25</f>
        <v>2.1458821053739117E-2</v>
      </c>
      <c r="F32" s="40">
        <f>'Non-OECD Europe Eurasia 2015'!$B$25/'Non-OECD Europe Eurasia 2015'!$L$25</f>
        <v>3.3097554106458114E-2</v>
      </c>
      <c r="G32" s="40">
        <f>'Non-OECD Europe Eurasia 2018'!$B$25/'Non-OECD Europe Eurasia 2018'!$L$25</f>
        <v>3.6813985623686263E-2</v>
      </c>
      <c r="H32" s="77">
        <f t="shared" si="0"/>
        <v>3.6813985623686263E-2</v>
      </c>
      <c r="I32" s="77">
        <f t="shared" si="0"/>
        <v>3.6813985623686263E-2</v>
      </c>
    </row>
    <row r="33" spans="1:9" x14ac:dyDescent="0.35">
      <c r="A33" s="30" t="s">
        <v>143</v>
      </c>
      <c r="B33" s="40">
        <f>'Non-OECD Europe Eurasia 1995'!$D$25/'Non-OECD Europe Eurasia 1995'!$L$25</f>
        <v>4.3923302867475859E-2</v>
      </c>
      <c r="C33" s="40">
        <f>'Non-OECD Europe Eurasia 2000'!$D$25/'Non-OECD Europe Eurasia 2000'!$L$25</f>
        <v>3.1430742200484356E-2</v>
      </c>
      <c r="D33" s="40">
        <f>'Non-OECD Europe Eurasia 2005'!$D$25/'Non-OECD Europe Eurasia 2005'!$L$25</f>
        <v>5.0604506570485631E-2</v>
      </c>
      <c r="E33" s="40">
        <f>'Non-OECD Europe Eurasia 2010'!$D$25/'Non-OECD Europe Eurasia 2010'!$L$25</f>
        <v>3.6709892942630926E-2</v>
      </c>
      <c r="F33" s="40">
        <f>'Non-OECD Europe Eurasia 2015'!$D$25/'Non-OECD Europe Eurasia 2015'!$L$25</f>
        <v>6.5220217075759868E-2</v>
      </c>
      <c r="G33" s="40">
        <f>'Non-OECD Europe Eurasia 2018'!$D$25/'Non-OECD Europe Eurasia 2018'!$L$25</f>
        <v>8.3489744386080991E-2</v>
      </c>
      <c r="H33" s="77">
        <f t="shared" si="0"/>
        <v>8.3489744386080991E-2</v>
      </c>
      <c r="I33" s="77">
        <f t="shared" si="0"/>
        <v>8.3489744386080991E-2</v>
      </c>
    </row>
    <row r="34" spans="1:9" x14ac:dyDescent="0.35">
      <c r="A34" s="30" t="s">
        <v>241</v>
      </c>
      <c r="B34" s="40">
        <f>'Non-OECD Europe Eurasia 1995'!$E$25/'Non-OECD Europe Eurasia 1995'!$L$25</f>
        <v>0.33033827876493821</v>
      </c>
      <c r="C34" s="40">
        <f>'Non-OECD Europe Eurasia 2000'!$E$25/'Non-OECD Europe Eurasia 2000'!$L$25</f>
        <v>0.36578185099007549</v>
      </c>
      <c r="D34" s="40">
        <f>'Non-OECD Europe Eurasia 2005'!$E$25/'Non-OECD Europe Eurasia 2005'!$L$25</f>
        <v>0.40984396122838801</v>
      </c>
      <c r="E34" s="40">
        <f>'Non-OECD Europe Eurasia 2010'!$E$25/'Non-OECD Europe Eurasia 2010'!$L$25</f>
        <v>0.4192229791935187</v>
      </c>
      <c r="F34" s="40">
        <f>'Non-OECD Europe Eurasia 2015'!$E$25/'Non-OECD Europe Eurasia 2015'!$L$25</f>
        <v>0.38898156372538401</v>
      </c>
      <c r="G34" s="40">
        <f>'Non-OECD Europe Eurasia 2018'!$E$25/'Non-OECD Europe Eurasia 2018'!$L$25</f>
        <v>0.43373347556611797</v>
      </c>
      <c r="H34" s="77">
        <f t="shared" si="0"/>
        <v>0.43373347556611797</v>
      </c>
      <c r="I34" s="77">
        <f t="shared" si="0"/>
        <v>0.43373347556611797</v>
      </c>
    </row>
    <row r="35" spans="1:9" x14ac:dyDescent="0.35">
      <c r="A35" s="30" t="s">
        <v>145</v>
      </c>
      <c r="B35" s="40">
        <f>'Non-OECD Europe Eurasia 1995'!$H$25/'Non-OECD Europe Eurasia 1995'!$L$25</f>
        <v>0</v>
      </c>
      <c r="C35" s="40">
        <f>'Non-OECD Europe Eurasia 2000'!$H$25/'Non-OECD Europe Eurasia 2000'!$L$25</f>
        <v>4.2737072035709199E-5</v>
      </c>
      <c r="D35" s="40">
        <f>'Non-OECD Europe Eurasia 2005'!$H$25/'Non-OECD Europe Eurasia 2005'!$L$25</f>
        <v>2.9007558384552655E-4</v>
      </c>
      <c r="E35" s="40">
        <f>'Non-OECD Europe Eurasia 2010'!$H$25/'Non-OECD Europe Eurasia 2010'!$L$25</f>
        <v>6.4707893836967671E-4</v>
      </c>
      <c r="F35" s="40">
        <f>'Non-OECD Europe Eurasia 2015'!$H$25/'Non-OECD Europe Eurasia 2015'!$L$25</f>
        <v>5.2535800168981134E-4</v>
      </c>
      <c r="G35" s="40">
        <f>'Non-OECD Europe Eurasia 2018'!$H$25/'Non-OECD Europe Eurasia 2018'!$L$25</f>
        <v>4.8611204882725466E-4</v>
      </c>
      <c r="H35" s="77">
        <f t="shared" si="0"/>
        <v>4.8611204882725466E-4</v>
      </c>
      <c r="I35" s="77">
        <f t="shared" si="0"/>
        <v>4.8611204882725466E-4</v>
      </c>
    </row>
    <row r="36" spans="1:9" x14ac:dyDescent="0.35">
      <c r="A36" s="30" t="s">
        <v>146</v>
      </c>
      <c r="B36" s="40">
        <f>'Non-OECD Europe Eurasia 1995'!$I$25/'Non-OECD Europe Eurasia 1995'!$L$25</f>
        <v>3.5500297475440708E-2</v>
      </c>
      <c r="C36" s="40">
        <f>'Non-OECD Europe Eurasia 2000'!$I$25/'Non-OECD Europe Eurasia 2000'!$L$25</f>
        <v>4.0904126501733223E-2</v>
      </c>
      <c r="D36" s="40">
        <f>'Non-OECD Europe Eurasia 2005'!$I$25/'Non-OECD Europe Eurasia 2005'!$L$25</f>
        <v>4.5903092862498697E-2</v>
      </c>
      <c r="E36" s="40">
        <f>'Non-OECD Europe Eurasia 2010'!$I$25/'Non-OECD Europe Eurasia 2010'!$L$25</f>
        <v>5.6501039008864454E-2</v>
      </c>
      <c r="F36" s="40">
        <f>'Non-OECD Europe Eurasia 2015'!$I$25/'Non-OECD Europe Eurasia 2015'!$L$25</f>
        <v>5.7962694165818153E-2</v>
      </c>
      <c r="G36" s="40">
        <f>'Non-OECD Europe Eurasia 2018'!$I$25/'Non-OECD Europe Eurasia 2018'!$L$25</f>
        <v>5.4007948832205825E-2</v>
      </c>
      <c r="H36" s="77">
        <f t="shared" si="0"/>
        <v>5.4007948832205825E-2</v>
      </c>
      <c r="I36" s="77">
        <f t="shared" si="0"/>
        <v>5.4007948832205825E-2</v>
      </c>
    </row>
    <row r="37" spans="1:9" x14ac:dyDescent="0.35">
      <c r="A37" s="30" t="s">
        <v>147</v>
      </c>
      <c r="B37" s="40">
        <f>'Non-OECD Europe Eurasia 1995'!$J$25/'Non-OECD Europe Eurasia 1995'!$L$25</f>
        <v>9.7309604006314915E-2</v>
      </c>
      <c r="C37" s="40">
        <f>'Non-OECD Europe Eurasia 2000'!$J$25/'Non-OECD Europe Eurasia 2000'!$L$25</f>
        <v>0.10667173180113015</v>
      </c>
      <c r="D37" s="40">
        <f>'Non-OECD Europe Eurasia 2005'!$J$25/'Non-OECD Europe Eurasia 2005'!$L$25</f>
        <v>0.10985654941410206</v>
      </c>
      <c r="E37" s="40">
        <f>'Non-OECD Europe Eurasia 2010'!$J$25/'Non-OECD Europe Eurasia 2010'!$L$25</f>
        <v>0.12371833653365599</v>
      </c>
      <c r="F37" s="40">
        <f>'Non-OECD Europe Eurasia 2015'!$J$25/'Non-OECD Europe Eurasia 2015'!$L$25</f>
        <v>0.14266990186095885</v>
      </c>
      <c r="G37" s="40">
        <f>'Non-OECD Europe Eurasia 2018'!$J$25/'Non-OECD Europe Eurasia 2018'!$L$25</f>
        <v>0.12755040036728466</v>
      </c>
      <c r="H37" s="89">
        <f>1-H38-H36-H35-H34-H33-H32</f>
        <v>0.12755040036728471</v>
      </c>
      <c r="I37" s="89">
        <f>1-I38-I36-I35-I34-I33-I32</f>
        <v>0.12755040036728471</v>
      </c>
    </row>
    <row r="38" spans="1:9" x14ac:dyDescent="0.35">
      <c r="A38" s="30" t="s">
        <v>148</v>
      </c>
      <c r="B38" s="40">
        <f>'Non-OECD Europe Eurasia 1995'!$K$25/'Non-OECD Europe Eurasia 1995'!$L$25</f>
        <v>0.42656104336582923</v>
      </c>
      <c r="C38" s="40">
        <f>'Non-OECD Europe Eurasia 2000'!$K$25/'Non-OECD Europe Eurasia 2000'!$L$25</f>
        <v>0.39142884277506057</v>
      </c>
      <c r="D38" s="40">
        <f>'Non-OECD Europe Eurasia 2005'!$K$25/'Non-OECD Europe Eurasia 2005'!$L$25</f>
        <v>0.36008778891254495</v>
      </c>
      <c r="E38" s="40">
        <f>'Non-OECD Europe Eurasia 2010'!$K$25/'Non-OECD Europe Eurasia 2010'!$L$25</f>
        <v>0.34174185232922116</v>
      </c>
      <c r="F38" s="40">
        <f>'Non-OECD Europe Eurasia 2015'!$K$25/'Non-OECD Europe Eurasia 2015'!$L$25</f>
        <v>0.31154812712580426</v>
      </c>
      <c r="G38" s="40">
        <f>'Non-OECD Europe Eurasia 2018'!$K$25/'Non-OECD Europe Eurasia 2018'!$L$25</f>
        <v>0.26391833317579705</v>
      </c>
      <c r="H38" s="88">
        <f t="shared" si="0"/>
        <v>0.26391833317579705</v>
      </c>
      <c r="I38" s="88">
        <f t="shared" si="0"/>
        <v>0.26391833317579705</v>
      </c>
    </row>
    <row r="39" spans="1:9" x14ac:dyDescent="0.35">
      <c r="A39" s="31" t="s">
        <v>151</v>
      </c>
      <c r="B39" s="81"/>
      <c r="C39" s="81"/>
      <c r="D39" s="81"/>
      <c r="E39" s="81"/>
      <c r="F39" s="81"/>
      <c r="G39" s="81"/>
      <c r="H39" s="42"/>
      <c r="I39" s="42"/>
    </row>
    <row r="40" spans="1:9" x14ac:dyDescent="0.35">
      <c r="A40" s="30" t="s">
        <v>141</v>
      </c>
      <c r="B40" s="40">
        <f>'Non-OECD Europe Eurasia 1995'!$B$26/'Non-OECD Europe Eurasia 1995'!$L$26</f>
        <v>3.5504861815572657E-2</v>
      </c>
      <c r="C40" s="40">
        <f>'Non-OECD Europe Eurasia 2000'!$B$26/'Non-OECD Europe Eurasia 2000'!$L$26</f>
        <v>1.5438138725809958E-2</v>
      </c>
      <c r="D40" s="40">
        <f>'Non-OECD Europe Eurasia 2005'!$B$26/'Non-OECD Europe Eurasia 2005'!$L$26</f>
        <v>5.5776204455189084E-2</v>
      </c>
      <c r="E40" s="40">
        <f>'Non-OECD Europe Eurasia 2010'!$B$26/'Non-OECD Europe Eurasia 2010'!$L$26</f>
        <v>5.8678858584266122E-2</v>
      </c>
      <c r="F40" s="40">
        <f>'Non-OECD Europe Eurasia 2015'!$B$26/'Non-OECD Europe Eurasia 2015'!$L$26</f>
        <v>3.8001552376879091E-2</v>
      </c>
      <c r="G40" s="40">
        <f>'Non-OECD Europe Eurasia 2018'!$B$26/'Non-OECD Europe Eurasia 2018'!$L$26</f>
        <v>2.5209587908844019E-2</v>
      </c>
      <c r="H40" s="77">
        <f t="shared" si="0"/>
        <v>2.5209587908844019E-2</v>
      </c>
      <c r="I40" s="77">
        <f t="shared" si="0"/>
        <v>2.5209587908844019E-2</v>
      </c>
    </row>
    <row r="41" spans="1:9" x14ac:dyDescent="0.35">
      <c r="A41" s="30" t="s">
        <v>143</v>
      </c>
      <c r="B41" s="40">
        <f>'Non-OECD Europe Eurasia 1995'!$D$26/'Non-OECD Europe Eurasia 1995'!$L$26</f>
        <v>2.3282282207981789E-2</v>
      </c>
      <c r="C41" s="40">
        <f>'Non-OECD Europe Eurasia 2000'!$D$26/'Non-OECD Europe Eurasia 2000'!$L$26</f>
        <v>4.6341595999130243E-2</v>
      </c>
      <c r="D41" s="40">
        <f>'Non-OECD Europe Eurasia 2005'!$D$26/'Non-OECD Europe Eurasia 2005'!$L$26</f>
        <v>3.4075864847752262E-2</v>
      </c>
      <c r="E41" s="40">
        <f>'Non-OECD Europe Eurasia 2010'!$D$26/'Non-OECD Europe Eurasia 2010'!$L$26</f>
        <v>4.9471858741920227E-2</v>
      </c>
      <c r="F41" s="40">
        <f>'Non-OECD Europe Eurasia 2015'!$D$26/'Non-OECD Europe Eurasia 2015'!$L$26</f>
        <v>6.0764466410049262E-2</v>
      </c>
      <c r="G41" s="40">
        <f>'Non-OECD Europe Eurasia 2018'!$D$26/'Non-OECD Europe Eurasia 2018'!$L$26</f>
        <v>5.466997284213012E-2</v>
      </c>
      <c r="H41" s="77">
        <f t="shared" si="0"/>
        <v>5.466997284213012E-2</v>
      </c>
      <c r="I41" s="77">
        <f t="shared" si="0"/>
        <v>5.466997284213012E-2</v>
      </c>
    </row>
    <row r="42" spans="1:9" x14ac:dyDescent="0.35">
      <c r="A42" s="30" t="s">
        <v>241</v>
      </c>
      <c r="B42" s="40">
        <f>'Non-OECD Europe Eurasia 1995'!$E$26/'Non-OECD Europe Eurasia 1995'!$L$26</f>
        <v>0.32543236756810251</v>
      </c>
      <c r="C42" s="40">
        <f>'Non-OECD Europe Eurasia 2000'!$E$26/'Non-OECD Europe Eurasia 2000'!$L$26</f>
        <v>0.28767123287671231</v>
      </c>
      <c r="D42" s="40">
        <f>'Non-OECD Europe Eurasia 2005'!$E$26/'Non-OECD Europe Eurasia 2005'!$L$26</f>
        <v>0.23830081160421343</v>
      </c>
      <c r="E42" s="40">
        <f>'Non-OECD Europe Eurasia 2010'!$E$26/'Non-OECD Europe Eurasia 2010'!$L$26</f>
        <v>0.23585054390666876</v>
      </c>
      <c r="F42" s="40">
        <f>'Non-OECD Europe Eurasia 2015'!$E$26/'Non-OECD Europe Eurasia 2015'!$L$26</f>
        <v>0.21535269052258074</v>
      </c>
      <c r="G42" s="40">
        <f>'Non-OECD Europe Eurasia 2018'!$E$26/'Non-OECD Europe Eurasia 2018'!$L$26</f>
        <v>0.2222074625103318</v>
      </c>
      <c r="H42" s="77">
        <f t="shared" si="0"/>
        <v>0.2222074625103318</v>
      </c>
      <c r="I42" s="77">
        <f t="shared" si="0"/>
        <v>0.2222074625103318</v>
      </c>
    </row>
    <row r="43" spans="1:9" x14ac:dyDescent="0.35">
      <c r="A43" s="30" t="s">
        <v>145</v>
      </c>
      <c r="B43" s="40">
        <f>'Non-OECD Europe Eurasia 1995'!$H$26/'Non-OECD Europe Eurasia 1995'!$L$26</f>
        <v>4.9484127965954919E-5</v>
      </c>
      <c r="C43" s="40">
        <f>'Non-OECD Europe Eurasia 2000'!$H$26/'Non-OECD Europe Eurasia 2000'!$L$26</f>
        <v>2.1743857360295715E-4</v>
      </c>
      <c r="D43" s="40">
        <f>'Non-OECD Europe Eurasia 2005'!$H$26/'Non-OECD Europe Eurasia 2005'!$L$26</f>
        <v>1.0169036243980122E-3</v>
      </c>
      <c r="E43" s="40">
        <f>'Non-OECD Europe Eurasia 2010'!$H$26/'Non-OECD Europe Eurasia 2010'!$L$26</f>
        <v>1.166640390982185E-3</v>
      </c>
      <c r="F43" s="40">
        <f>'Non-OECD Europe Eurasia 2015'!$H$26/'Non-OECD Europe Eurasia 2015'!$L$26</f>
        <v>1.5840580398865814E-3</v>
      </c>
      <c r="G43" s="40">
        <f>'Non-OECD Europe Eurasia 2018'!$H$26/'Non-OECD Europe Eurasia 2018'!$L$26</f>
        <v>1.6530877317274767E-3</v>
      </c>
      <c r="H43" s="77">
        <f t="shared" si="0"/>
        <v>1.6530877317274767E-3</v>
      </c>
      <c r="I43" s="77">
        <f t="shared" si="0"/>
        <v>1.6530877317274767E-3</v>
      </c>
    </row>
    <row r="44" spans="1:9" x14ac:dyDescent="0.35">
      <c r="A44" s="30" t="s">
        <v>146</v>
      </c>
      <c r="B44" s="40">
        <f>'Non-OECD Europe Eurasia 1995'!$I$26/'Non-OECD Europe Eurasia 1995'!$L$26</f>
        <v>1.4201944726229062E-2</v>
      </c>
      <c r="C44" s="40">
        <f>'Non-OECD Europe Eurasia 2000'!$I$26/'Non-OECD Europe Eurasia 2000'!$L$26</f>
        <v>5.7349423787779949E-3</v>
      </c>
      <c r="D44" s="40">
        <f>'Non-OECD Europe Eurasia 2005'!$I$26/'Non-OECD Europe Eurasia 2005'!$L$26</f>
        <v>1.6097776242828911E-2</v>
      </c>
      <c r="E44" s="40">
        <f>'Non-OECD Europe Eurasia 2010'!$I$26/'Non-OECD Europe Eurasia 2010'!$L$26</f>
        <v>1.7956802774712281E-2</v>
      </c>
      <c r="F44" s="40">
        <f>'Non-OECD Europe Eurasia 2015'!$I$26/'Non-OECD Europe Eurasia 2015'!$L$26</f>
        <v>2.0497711036132363E-2</v>
      </c>
      <c r="G44" s="40">
        <f>'Non-OECD Europe Eurasia 2018'!$I$26/'Non-OECD Europe Eurasia 2018'!$L$26</f>
        <v>2.4427323178651553E-2</v>
      </c>
      <c r="H44" s="77">
        <f t="shared" si="0"/>
        <v>2.4427323178651553E-2</v>
      </c>
      <c r="I44" s="77">
        <f t="shared" si="0"/>
        <v>2.4427323178651553E-2</v>
      </c>
    </row>
    <row r="45" spans="1:9" x14ac:dyDescent="0.35">
      <c r="A45" s="30" t="s">
        <v>147</v>
      </c>
      <c r="B45" s="40">
        <f>'Non-OECD Europe Eurasia 1995'!$J$26/'Non-OECD Europe Eurasia 1995'!$L$26</f>
        <v>0.21097557958284879</v>
      </c>
      <c r="C45" s="40">
        <f>'Non-OECD Europe Eurasia 2000'!$J$26/'Non-OECD Europe Eurasia 2000'!$L$26</f>
        <v>0.2450804522722331</v>
      </c>
      <c r="D45" s="40">
        <f>'Non-OECD Europe Eurasia 2005'!$J$26/'Non-OECD Europe Eurasia 2005'!$L$26</f>
        <v>0.28032003683877282</v>
      </c>
      <c r="E45" s="40">
        <f>'Non-OECD Europe Eurasia 2010'!$J$26/'Non-OECD Europe Eurasia 2010'!$L$26</f>
        <v>0.32806243102632826</v>
      </c>
      <c r="F45" s="40">
        <f>'Non-OECD Europe Eurasia 2015'!$J$26/'Non-OECD Europe Eurasia 2015'!$L$26</f>
        <v>0.33170175355225018</v>
      </c>
      <c r="G45" s="40">
        <f>'Non-OECD Europe Eurasia 2018'!$J$26/'Non-OECD Europe Eurasia 2018'!$L$26</f>
        <v>0.31395383162120677</v>
      </c>
      <c r="H45" s="89">
        <f>1-H46-H44-H43-H42-H41-H40</f>
        <v>0.31396859133309712</v>
      </c>
      <c r="I45" s="89">
        <f>1-I46-I44-I43-I42-I41-I40</f>
        <v>0.31396859133309712</v>
      </c>
    </row>
    <row r="46" spans="1:9" x14ac:dyDescent="0.35">
      <c r="A46" s="30" t="s">
        <v>148</v>
      </c>
      <c r="B46" s="40">
        <f>'Non-OECD Europe Eurasia 1995'!$K$26/'Non-OECD Europe Eurasia 1995'!$L$26</f>
        <v>0.3905782220352822</v>
      </c>
      <c r="C46" s="40">
        <f>'Non-OECD Europe Eurasia 2000'!$K$26/'Non-OECD Europe Eurasia 2000'!$L$26</f>
        <v>0.3995433789954338</v>
      </c>
      <c r="D46" s="40">
        <f>'Non-OECD Europe Eurasia 2005'!$K$26/'Non-OECD Europe Eurasia 2005'!$L$26</f>
        <v>0.37379842284003917</v>
      </c>
      <c r="E46" s="40">
        <f>'Non-OECD Europe Eurasia 2010'!$K$26/'Non-OECD Europe Eurasia 2010'!$L$26</f>
        <v>0.30882862998581112</v>
      </c>
      <c r="F46" s="40">
        <f>'Non-OECD Europe Eurasia 2015'!$K$26/'Non-OECD Europe Eurasia 2015'!$L$26</f>
        <v>0.33211360864262068</v>
      </c>
      <c r="G46" s="40">
        <f>'Non-OECD Europe Eurasia 2018'!$K$26/'Non-OECD Europe Eurasia 2018'!$L$26</f>
        <v>0.35786397449521784</v>
      </c>
      <c r="H46" s="77">
        <f t="shared" si="0"/>
        <v>0.35786397449521784</v>
      </c>
      <c r="I46" s="77">
        <f t="shared" si="0"/>
        <v>0.35786397449521784</v>
      </c>
    </row>
    <row r="47" spans="1:9" x14ac:dyDescent="0.35">
      <c r="A47" s="31" t="s">
        <v>152</v>
      </c>
      <c r="B47" s="81"/>
      <c r="C47" s="81"/>
      <c r="D47" s="81"/>
      <c r="E47" s="81"/>
      <c r="F47" s="81"/>
      <c r="G47" s="81"/>
      <c r="H47" s="42"/>
      <c r="I47" s="42"/>
    </row>
    <row r="48" spans="1:9" x14ac:dyDescent="0.35">
      <c r="A48" s="30" t="s">
        <v>141</v>
      </c>
      <c r="B48" s="40">
        <f>'Non-OECD Europe Eurasia 1995'!$B$27/'Non-OECD Europe Eurasia 1995'!$L$27</f>
        <v>1.1830599531348232E-2</v>
      </c>
      <c r="C48" s="40">
        <f>'Non-OECD Europe Eurasia 2000'!$B$27/'Non-OECD Europe Eurasia 2000'!$L$27</f>
        <v>1.5513126491646777E-2</v>
      </c>
      <c r="D48" s="40">
        <f>'Non-OECD Europe Eurasia 2005'!$B$27/'Non-OECD Europe Eurasia 2005'!$L$27</f>
        <v>6.0307557598642807E-2</v>
      </c>
      <c r="E48" s="40">
        <f>'Non-OECD Europe Eurasia 2010'!$B$27/'Non-OECD Europe Eurasia 2010'!$L$27</f>
        <v>1.8737735012977149E-2</v>
      </c>
      <c r="F48" s="40">
        <f>'Non-OECD Europe Eurasia 2015'!$B$27/'Non-OECD Europe Eurasia 2015'!$L$27</f>
        <v>1.4463715484315321E-2</v>
      </c>
      <c r="G48" s="40">
        <f>'Non-OECD Europe Eurasia 2018'!$B$27/'Non-OECD Europe Eurasia 2018'!$L$27</f>
        <v>1.1109231376529635E-2</v>
      </c>
      <c r="H48" s="77">
        <f t="shared" si="0"/>
        <v>1.1109231376529635E-2</v>
      </c>
      <c r="I48" s="77">
        <f t="shared" si="0"/>
        <v>1.1109231376529635E-2</v>
      </c>
    </row>
    <row r="49" spans="1:9" x14ac:dyDescent="0.35">
      <c r="A49" s="30" t="s">
        <v>143</v>
      </c>
      <c r="B49" s="40">
        <f>'Non-OECD Europe Eurasia 1995'!$D$27/'Non-OECD Europe Eurasia 1995'!$L$27</f>
        <v>0.4225581528261988</v>
      </c>
      <c r="C49" s="40">
        <f>'Non-OECD Europe Eurasia 2000'!$D$27/'Non-OECD Europe Eurasia 2000'!$L$27</f>
        <v>0.4668165962915366</v>
      </c>
      <c r="D49" s="40">
        <f>'Non-OECD Europe Eurasia 2005'!$D$27/'Non-OECD Europe Eurasia 2005'!$L$27</f>
        <v>0.45493350845509767</v>
      </c>
      <c r="E49" s="40">
        <f>'Non-OECD Europe Eurasia 2010'!$D$27/'Non-OECD Europe Eurasia 2010'!$L$27</f>
        <v>0.44008356016965244</v>
      </c>
      <c r="F49" s="40">
        <f>'Non-OECD Europe Eurasia 2015'!$D$27/'Non-OECD Europe Eurasia 2015'!$L$27</f>
        <v>0.46390332477615681</v>
      </c>
      <c r="G49" s="40">
        <f>'Non-OECD Europe Eurasia 2018'!$D$27/'Non-OECD Europe Eurasia 2018'!$L$27</f>
        <v>0.37444312863023743</v>
      </c>
      <c r="H49" s="77">
        <f t="shared" si="0"/>
        <v>0.37444312863023743</v>
      </c>
      <c r="I49" s="77">
        <f t="shared" si="0"/>
        <v>0.37444312863023743</v>
      </c>
    </row>
    <row r="50" spans="1:9" x14ac:dyDescent="0.35">
      <c r="A50" s="30" t="s">
        <v>241</v>
      </c>
      <c r="B50" s="40">
        <f>'Non-OECD Europe Eurasia 1995'!$E$27/'Non-OECD Europe Eurasia 1995'!$L$27</f>
        <v>3.9463908098531175E-2</v>
      </c>
      <c r="C50" s="40">
        <f>'Non-OECD Europe Eurasia 2000'!$E$27/'Non-OECD Europe Eurasia 2000'!$L$27</f>
        <v>3.4560308426656874E-2</v>
      </c>
      <c r="D50" s="40">
        <f>'Non-OECD Europe Eurasia 2005'!$E$27/'Non-OECD Europe Eurasia 2005'!$L$27</f>
        <v>5.549170907896897E-2</v>
      </c>
      <c r="E50" s="40">
        <f>'Non-OECD Europe Eurasia 2010'!$E$27/'Non-OECD Europe Eurasia 2010'!$L$27</f>
        <v>7.1659175792872065E-2</v>
      </c>
      <c r="F50" s="40">
        <f>'Non-OECD Europe Eurasia 2015'!$E$27/'Non-OECD Europe Eurasia 2015'!$L$27</f>
        <v>0.10080771398159163</v>
      </c>
      <c r="G50" s="40">
        <f>'Non-OECD Europe Eurasia 2018'!$E$27/'Non-OECD Europe Eurasia 2018'!$L$27</f>
        <v>0.10804714374330344</v>
      </c>
      <c r="H50" s="77">
        <f t="shared" si="0"/>
        <v>0.10804714374330344</v>
      </c>
      <c r="I50" s="77">
        <f t="shared" si="0"/>
        <v>0.10804714374330344</v>
      </c>
    </row>
    <row r="51" spans="1:9" x14ac:dyDescent="0.35">
      <c r="A51" s="30" t="s">
        <v>145</v>
      </c>
      <c r="B51" s="40">
        <f>'Non-OECD Europe Eurasia 1995'!$H$27/'Non-OECD Europe Eurasia 1995'!$L$27</f>
        <v>3.4291592844487627E-4</v>
      </c>
      <c r="C51" s="40">
        <f>'Non-OECD Europe Eurasia 2000'!$H$27/'Non-OECD Europe Eurasia 2000'!$L$27</f>
        <v>5.507618872774004E-4</v>
      </c>
      <c r="D51" s="40">
        <f>'Non-OECD Europe Eurasia 2005'!$H$27/'Non-OECD Europe Eurasia 2005'!$L$27</f>
        <v>4.378044108794396E-4</v>
      </c>
      <c r="E51" s="40">
        <f>'Non-OECD Europe Eurasia 2010'!$H$27/'Non-OECD Europe Eurasia 2010'!$L$27</f>
        <v>6.9633474710388045E-4</v>
      </c>
      <c r="F51" s="40">
        <f>'Non-OECD Europe Eurasia 2015'!$H$27/'Non-OECD Europe Eurasia 2015'!$L$27</f>
        <v>8.1397533028614369E-4</v>
      </c>
      <c r="G51" s="40">
        <f>'Non-OECD Europe Eurasia 2018'!$H$27/'Non-OECD Europe Eurasia 2018'!$L$27</f>
        <v>6.2031241188744151E-4</v>
      </c>
      <c r="H51" s="77">
        <f t="shared" si="0"/>
        <v>6.2031241188744151E-4</v>
      </c>
      <c r="I51" s="77">
        <f t="shared" si="0"/>
        <v>6.2031241188744151E-4</v>
      </c>
    </row>
    <row r="52" spans="1:9" x14ac:dyDescent="0.35">
      <c r="A52" s="30" t="s">
        <v>146</v>
      </c>
      <c r="B52" s="40">
        <f>'Non-OECD Europe Eurasia 1995'!$I$27/'Non-OECD Europe Eurasia 1995'!$L$27</f>
        <v>1.3688060810424644E-2</v>
      </c>
      <c r="C52" s="40">
        <f>'Non-OECD Europe Eurasia 2000'!$I$27/'Non-OECD Europe Eurasia 2000'!$L$27</f>
        <v>1.0280888562511473E-2</v>
      </c>
      <c r="D52" s="40">
        <f>'Non-OECD Europe Eurasia 2005'!$I$27/'Non-OECD Europe Eurasia 2005'!$L$27</f>
        <v>1.9974826246374432E-2</v>
      </c>
      <c r="E52" s="40">
        <f>'Non-OECD Europe Eurasia 2010'!$I$27/'Non-OECD Europe Eurasia 2010'!$L$27</f>
        <v>1.6965246565803633E-2</v>
      </c>
      <c r="F52" s="40">
        <f>'Non-OECD Europe Eurasia 2015'!$I$27/'Non-OECD Europe Eurasia 2015'!$L$27</f>
        <v>1.577859871016217E-2</v>
      </c>
      <c r="G52" s="40">
        <f>'Non-OECD Europe Eurasia 2018'!$I$27/'Non-OECD Europe Eurasia 2018'!$L$27</f>
        <v>1.3534088986635088E-2</v>
      </c>
      <c r="H52" s="77">
        <f t="shared" si="0"/>
        <v>1.3534088986635088E-2</v>
      </c>
      <c r="I52" s="77">
        <f t="shared" si="0"/>
        <v>1.3534088986635088E-2</v>
      </c>
    </row>
    <row r="53" spans="1:9" x14ac:dyDescent="0.35">
      <c r="A53" s="30" t="s">
        <v>147</v>
      </c>
      <c r="B53" s="40">
        <f>'Non-OECD Europe Eurasia 1995'!$J$27/'Non-OECD Europe Eurasia 1995'!$L$27</f>
        <v>0.2671886609132994</v>
      </c>
      <c r="C53" s="40">
        <f>'Non-OECD Europe Eurasia 2000'!$J$27/'Non-OECD Europe Eurasia 2000'!$L$27</f>
        <v>0.25936295208371579</v>
      </c>
      <c r="D53" s="40">
        <f>'Non-OECD Europe Eurasia 2005'!$J$27/'Non-OECD Europe Eurasia 2005'!$L$27</f>
        <v>0.22048924642915776</v>
      </c>
      <c r="E53" s="40">
        <f>'Non-OECD Europe Eurasia 2010'!$J$27/'Non-OECD Europe Eurasia 2010'!$L$27</f>
        <v>0.2159903779198582</v>
      </c>
      <c r="F53" s="40">
        <f>'Non-OECD Europe Eurasia 2015'!$J$27/'Non-OECD Europe Eurasia 2015'!$L$27</f>
        <v>0.22703650366288899</v>
      </c>
      <c r="G53" s="40">
        <f>'Non-OECD Europe Eurasia 2018'!$J$27/'Non-OECD Europe Eurasia 2018'!$L$27</f>
        <v>0.25517396943551568</v>
      </c>
      <c r="H53" s="89">
        <f>1-H54-H52-H51-H50-H49-H48</f>
        <v>0.25534314554784854</v>
      </c>
      <c r="I53" s="89">
        <f>1-I54-I52-I51-I50-I49-I48</f>
        <v>0.25534314554784854</v>
      </c>
    </row>
    <row r="54" spans="1:9" x14ac:dyDescent="0.35">
      <c r="A54" s="30" t="s">
        <v>148</v>
      </c>
      <c r="B54" s="40">
        <f>'Non-OECD Europe Eurasia 1995'!$K$27/'Non-OECD Europe Eurasia 1995'!$L$27</f>
        <v>0.24495627821912327</v>
      </c>
      <c r="C54" s="40">
        <f>'Non-OECD Europe Eurasia 2000'!$K$27/'Non-OECD Europe Eurasia 2000'!$L$27</f>
        <v>0.21282357260877546</v>
      </c>
      <c r="D54" s="40">
        <f>'Non-OECD Europe Eurasia 2005'!$K$27/'Non-OECD Europe Eurasia 2005'!$L$27</f>
        <v>0.18798226892135939</v>
      </c>
      <c r="E54" s="40">
        <f>'Non-OECD Europe Eurasia 2010'!$K$27/'Non-OECD Europe Eurasia 2010'!$L$27</f>
        <v>0.23510793188580109</v>
      </c>
      <c r="F54" s="40">
        <f>'Non-OECD Europe Eurasia 2015'!$K$27/'Non-OECD Europe Eurasia 2015'!$L$27</f>
        <v>0.17657003318514808</v>
      </c>
      <c r="G54" s="40">
        <f>'Non-OECD Europe Eurasia 2018'!$K$27/'Non-OECD Europe Eurasia 2018'!$L$27</f>
        <v>0.23690294930355835</v>
      </c>
      <c r="H54" s="77">
        <f t="shared" si="0"/>
        <v>0.23690294930355835</v>
      </c>
      <c r="I54" s="77">
        <f t="shared" si="0"/>
        <v>0.23690294930355835</v>
      </c>
    </row>
    <row r="55" spans="1:9" x14ac:dyDescent="0.35">
      <c r="A55" s="31" t="s">
        <v>153</v>
      </c>
      <c r="B55" s="81"/>
      <c r="C55" s="81"/>
      <c r="D55" s="81"/>
      <c r="E55" s="81"/>
      <c r="F55" s="81"/>
      <c r="G55" s="81"/>
      <c r="H55" s="42"/>
      <c r="I55" s="42"/>
    </row>
    <row r="56" spans="1:9" x14ac:dyDescent="0.35">
      <c r="A56" s="30" t="s">
        <v>141</v>
      </c>
      <c r="B56" s="40">
        <f>'Non-OECD Europe Eurasia 1995'!$B$28/IF('Non-OECD Europe Eurasia 1995'!$L$28=0,1,'Non-OECD Europe Eurasia 1995'!$L$28)</f>
        <v>0</v>
      </c>
      <c r="C56" s="40">
        <f>'Non-OECD Europe Eurasia 2000'!$B$28/IF('Non-OECD Europe Eurasia 2000'!$L$28=0,1,'Non-OECD Europe Eurasia 2000'!$L$28)</f>
        <v>0</v>
      </c>
      <c r="D56" s="40">
        <f>'Non-OECD Europe Eurasia 2005'!$B$28/IF('Non-OECD Europe Eurasia 2005'!$L$28=0,1,'Non-OECD Europe Eurasia 2005'!$L$28)</f>
        <v>0</v>
      </c>
      <c r="E56" s="40">
        <f>'Non-OECD Europe Eurasia 2010'!$B$28/IF('Non-OECD Europe Eurasia 2010'!$L$28=0,1,'Non-OECD Europe Eurasia 2010'!$L$28)</f>
        <v>6.382978723404255E-3</v>
      </c>
      <c r="F56" s="40">
        <f>'Non-OECD Europe Eurasia 2015'!$B$28/IF('Non-OECD Europe Eurasia 2015'!$L$28=0,1,'Non-OECD Europe Eurasia 2015'!$L$28)</f>
        <v>1.6260162601626016E-3</v>
      </c>
      <c r="G56" s="40">
        <f>'Non-OECD Europe Eurasia 2018'!$B$28/IF('Non-OECD Europe Eurasia 2018'!$L$28=0,1,'Non-OECD Europe Eurasia 2018'!$L$28)</f>
        <v>1.1834319526627219E-3</v>
      </c>
      <c r="H56" s="77">
        <f t="shared" si="0"/>
        <v>1.1834319526627219E-3</v>
      </c>
      <c r="I56" s="77">
        <f t="shared" si="0"/>
        <v>1.1834319526627219E-3</v>
      </c>
    </row>
    <row r="57" spans="1:9" x14ac:dyDescent="0.35">
      <c r="A57" s="30" t="s">
        <v>143</v>
      </c>
      <c r="B57" s="40">
        <f>'Non-OECD Europe Eurasia 1995'!$D$28/IF('Non-OECD Europe Eurasia 1995'!$L$28=0,1,'Non-OECD Europe Eurasia 1995'!$L$28)</f>
        <v>0</v>
      </c>
      <c r="C57" s="40">
        <f>'Non-OECD Europe Eurasia 2000'!$D$28/IF('Non-OECD Europe Eurasia 2000'!$L$28=0,1,'Non-OECD Europe Eurasia 2000'!$L$28)</f>
        <v>0.96551724137931039</v>
      </c>
      <c r="D57" s="40">
        <f>'Non-OECD Europe Eurasia 2005'!$D$28/IF('Non-OECD Europe Eurasia 2005'!$L$28=0,1,'Non-OECD Europe Eurasia 2005'!$L$28)</f>
        <v>0.94444444444444442</v>
      </c>
      <c r="E57" s="40">
        <f>'Non-OECD Europe Eurasia 2010'!$D$28/IF('Non-OECD Europe Eurasia 2010'!$L$28=0,1,'Non-OECD Europe Eurasia 2010'!$L$28)</f>
        <v>0.92553191489361697</v>
      </c>
      <c r="F57" s="40">
        <f>'Non-OECD Europe Eurasia 2015'!$D$28/IF('Non-OECD Europe Eurasia 2015'!$L$28=0,1,'Non-OECD Europe Eurasia 2015'!$L$28)</f>
        <v>0.94308943089430897</v>
      </c>
      <c r="G57" s="40">
        <f>'Non-OECD Europe Eurasia 2018'!$D$28/IF('Non-OECD Europe Eurasia 2018'!$L$28=0,1,'Non-OECD Europe Eurasia 2018'!$L$28)</f>
        <v>0.94082840236686394</v>
      </c>
      <c r="H57" s="77">
        <f t="shared" si="0"/>
        <v>0.94082840236686394</v>
      </c>
      <c r="I57" s="77">
        <f t="shared" si="0"/>
        <v>0.94082840236686394</v>
      </c>
    </row>
    <row r="58" spans="1:9" x14ac:dyDescent="0.35">
      <c r="A58" s="30" t="s">
        <v>241</v>
      </c>
      <c r="B58" s="40">
        <f>'Non-OECD Europe Eurasia 1995'!$E$28/IF('Non-OECD Europe Eurasia 1995'!$L$28=0,1,'Non-OECD Europe Eurasia 1995'!$L$28)</f>
        <v>0</v>
      </c>
      <c r="C58" s="40">
        <f>'Non-OECD Europe Eurasia 2000'!$E$28/IF('Non-OECD Europe Eurasia 2000'!$L$28=0,1,'Non-OECD Europe Eurasia 2000'!$L$28)</f>
        <v>0</v>
      </c>
      <c r="D58" s="40">
        <f>'Non-OECD Europe Eurasia 2005'!$E$28/IF('Non-OECD Europe Eurasia 2005'!$L$28=0,1,'Non-OECD Europe Eurasia 2005'!$L$28)</f>
        <v>0</v>
      </c>
      <c r="E58" s="40">
        <f>'Non-OECD Europe Eurasia 2010'!$E$28/IF('Non-OECD Europe Eurasia 2010'!$L$28=0,1,'Non-OECD Europe Eurasia 2010'!$L$28)</f>
        <v>3.1914893617021275E-3</v>
      </c>
      <c r="F58" s="40">
        <f>'Non-OECD Europe Eurasia 2015'!$E$28/IF('Non-OECD Europe Eurasia 2015'!$L$28=0,1,'Non-OECD Europe Eurasia 2015'!$L$28)</f>
        <v>1.6260162601626016E-3</v>
      </c>
      <c r="G58" s="40">
        <f>'Non-OECD Europe Eurasia 2018'!$E$28/IF('Non-OECD Europe Eurasia 2018'!$L$28=0,1,'Non-OECD Europe Eurasia 2018'!$L$28)</f>
        <v>2.3668639053254438E-3</v>
      </c>
      <c r="H58" s="77">
        <f t="shared" si="0"/>
        <v>2.3668639053254438E-3</v>
      </c>
      <c r="I58" s="77">
        <f t="shared" si="0"/>
        <v>2.3668639053254438E-3</v>
      </c>
    </row>
    <row r="59" spans="1:9" x14ac:dyDescent="0.35">
      <c r="A59" s="30" t="s">
        <v>145</v>
      </c>
      <c r="B59" s="40">
        <f>'Non-OECD Europe Eurasia 1995'!$H$28/IF('Non-OECD Europe Eurasia 1995'!$L$28=0,1,'Non-OECD Europe Eurasia 1995'!$L$28)</f>
        <v>0</v>
      </c>
      <c r="C59" s="40">
        <f>'Non-OECD Europe Eurasia 2000'!$H$28/IF('Non-OECD Europe Eurasia 2000'!$L$28=0,1,'Non-OECD Europe Eurasia 2000'!$L$28)</f>
        <v>0</v>
      </c>
      <c r="D59" s="40">
        <f>'Non-OECD Europe Eurasia 2005'!$H$28/IF('Non-OECD Europe Eurasia 2005'!$L$28=0,1,'Non-OECD Europe Eurasia 2005'!$L$28)</f>
        <v>0</v>
      </c>
      <c r="E59" s="40">
        <f>'Non-OECD Europe Eurasia 2010'!$H$28/IF('Non-OECD Europe Eurasia 2010'!$L$28=0,1,'Non-OECD Europe Eurasia 2010'!$L$28)</f>
        <v>0</v>
      </c>
      <c r="F59" s="40">
        <f>'Non-OECD Europe Eurasia 2015'!$H$28/IF('Non-OECD Europe Eurasia 2015'!$L$28=0,1,'Non-OECD Europe Eurasia 2015'!$L$28)</f>
        <v>0</v>
      </c>
      <c r="G59" s="40">
        <f>'Non-OECD Europe Eurasia 2018'!$H$28/IF('Non-OECD Europe Eurasia 2018'!$L$28=0,1,'Non-OECD Europe Eurasia 2018'!$L$28)</f>
        <v>0</v>
      </c>
      <c r="H59" s="77">
        <f t="shared" si="0"/>
        <v>0</v>
      </c>
      <c r="I59" s="77">
        <f t="shared" si="0"/>
        <v>0</v>
      </c>
    </row>
    <row r="60" spans="1:9" x14ac:dyDescent="0.35">
      <c r="A60" s="30" t="s">
        <v>146</v>
      </c>
      <c r="B60" s="40">
        <f>'Non-OECD Europe Eurasia 1995'!$I$28/IF('Non-OECD Europe Eurasia 1995'!$L$28=0,1,'Non-OECD Europe Eurasia 1995'!$L$28)</f>
        <v>0</v>
      </c>
      <c r="C60" s="40">
        <f>'Non-OECD Europe Eurasia 2000'!$I$28/IF('Non-OECD Europe Eurasia 2000'!$L$28=0,1,'Non-OECD Europe Eurasia 2000'!$L$28)</f>
        <v>0</v>
      </c>
      <c r="D60" s="40">
        <f>'Non-OECD Europe Eurasia 2005'!$I$28/IF('Non-OECD Europe Eurasia 2005'!$L$28=0,1,'Non-OECD Europe Eurasia 2005'!$L$28)</f>
        <v>0</v>
      </c>
      <c r="E60" s="40">
        <f>'Non-OECD Europe Eurasia 2010'!$I$28/IF('Non-OECD Europe Eurasia 2010'!$L$28=0,1,'Non-OECD Europe Eurasia 2010'!$L$28)</f>
        <v>0</v>
      </c>
      <c r="F60" s="40">
        <f>'Non-OECD Europe Eurasia 2015'!$I$28/IF('Non-OECD Europe Eurasia 2015'!$L$28=0,1,'Non-OECD Europe Eurasia 2015'!$L$28)</f>
        <v>1.6260162601626016E-3</v>
      </c>
      <c r="G60" s="40">
        <f>'Non-OECD Europe Eurasia 2018'!$I$28/IF('Non-OECD Europe Eurasia 2018'!$L$28=0,1,'Non-OECD Europe Eurasia 2018'!$L$28)</f>
        <v>0</v>
      </c>
      <c r="H60" s="77">
        <f t="shared" si="0"/>
        <v>0</v>
      </c>
      <c r="I60" s="77">
        <f t="shared" si="0"/>
        <v>0</v>
      </c>
    </row>
    <row r="61" spans="1:9" x14ac:dyDescent="0.35">
      <c r="A61" s="30" t="s">
        <v>147</v>
      </c>
      <c r="B61" s="40">
        <f>'Non-OECD Europe Eurasia 1995'!$J$28/IF('Non-OECD Europe Eurasia 1995'!$L$28=0,1,'Non-OECD Europe Eurasia 1995'!$L$28)</f>
        <v>0</v>
      </c>
      <c r="C61" s="40">
        <f>'Non-OECD Europe Eurasia 2000'!$J$28/IF('Non-OECD Europe Eurasia 2000'!$L$28=0,1,'Non-OECD Europe Eurasia 2000'!$L$28)</f>
        <v>3.4482758620689655E-2</v>
      </c>
      <c r="D61" s="40">
        <f>'Non-OECD Europe Eurasia 2005'!$J$28/IF('Non-OECD Europe Eurasia 2005'!$L$28=0,1,'Non-OECD Europe Eurasia 2005'!$L$28)</f>
        <v>3.6549707602339179E-2</v>
      </c>
      <c r="E61" s="40">
        <f>'Non-OECD Europe Eurasia 2010'!$J$28/IF('Non-OECD Europe Eurasia 2010'!$L$28=0,1,'Non-OECD Europe Eurasia 2010'!$L$28)</f>
        <v>2.7659574468085105E-2</v>
      </c>
      <c r="F61" s="40">
        <f>'Non-OECD Europe Eurasia 2015'!$J$28/IF('Non-OECD Europe Eurasia 2015'!$L$28=0,1,'Non-OECD Europe Eurasia 2015'!$L$28)</f>
        <v>3.9024390243902439E-2</v>
      </c>
      <c r="G61" s="40">
        <f>'Non-OECD Europe Eurasia 2018'!$J$28/IF('Non-OECD Europe Eurasia 2018'!$L$28=0,1,'Non-OECD Europe Eurasia 2018'!$L$28)</f>
        <v>3.9053254437869819E-2</v>
      </c>
      <c r="H61" s="89">
        <f>1-H62-H60-H59-H58-H57-H56</f>
        <v>3.9053254437869736E-2</v>
      </c>
      <c r="I61" s="89">
        <f>1-I62-I60-I59-I58-I57-I56</f>
        <v>3.9053254437869736E-2</v>
      </c>
    </row>
    <row r="62" spans="1:9" x14ac:dyDescent="0.35">
      <c r="A62" s="30" t="s">
        <v>148</v>
      </c>
      <c r="B62" s="40">
        <f>'Non-OECD Europe Eurasia 1995'!$K$28/IF('Non-OECD Europe Eurasia 1995'!$L$28=0,1,'Non-OECD Europe Eurasia 1995'!$L$28)</f>
        <v>0</v>
      </c>
      <c r="C62" s="40">
        <f>'Non-OECD Europe Eurasia 2000'!$K$28/IF('Non-OECD Europe Eurasia 2000'!$L$28=0,1,'Non-OECD Europe Eurasia 2000'!$L$28)</f>
        <v>0</v>
      </c>
      <c r="D62" s="40">
        <f>'Non-OECD Europe Eurasia 2005'!$K$28/IF('Non-OECD Europe Eurasia 2005'!$L$28=0,1,'Non-OECD Europe Eurasia 2005'!$L$28)</f>
        <v>1.7543859649122806E-2</v>
      </c>
      <c r="E62" s="40">
        <f>'Non-OECD Europe Eurasia 2010'!$K$28/IF('Non-OECD Europe Eurasia 2010'!$L$28=0,1,'Non-OECD Europe Eurasia 2010'!$L$28)</f>
        <v>3.7234042553191488E-2</v>
      </c>
      <c r="F62" s="40">
        <f>'Non-OECD Europe Eurasia 2015'!$K$28/IF('Non-OECD Europe Eurasia 2015'!$L$28=0,1,'Non-OECD Europe Eurasia 2015'!$L$28)</f>
        <v>1.3008130081300813E-2</v>
      </c>
      <c r="G62" s="40">
        <f>'Non-OECD Europe Eurasia 2018'!$K$28/IF('Non-OECD Europe Eurasia 2018'!$L$28=0,1,'Non-OECD Europe Eurasia 2018'!$L$28)</f>
        <v>1.6568047337278107E-2</v>
      </c>
      <c r="H62" s="77">
        <f t="shared" si="0"/>
        <v>1.6568047337278107E-2</v>
      </c>
      <c r="I62" s="77">
        <f t="shared" si="0"/>
        <v>1.6568047337278107E-2</v>
      </c>
    </row>
    <row r="63" spans="1:9" x14ac:dyDescent="0.35">
      <c r="A63" s="31" t="s">
        <v>154</v>
      </c>
      <c r="B63" s="81"/>
      <c r="C63" s="81"/>
      <c r="D63" s="81"/>
      <c r="E63" s="81"/>
      <c r="F63" s="81"/>
      <c r="G63" s="81"/>
      <c r="H63" s="42"/>
      <c r="I63" s="42"/>
    </row>
    <row r="64" spans="1:9" x14ac:dyDescent="0.35">
      <c r="A64" s="30" t="s">
        <v>141</v>
      </c>
      <c r="B64" s="40">
        <f>'Non-OECD Europe Eurasia 1995'!$B$29/'Non-OECD Europe Eurasia 1995'!$L$29</f>
        <v>0.10399851563224789</v>
      </c>
      <c r="C64" s="40">
        <f>'Non-OECD Europe Eurasia 2000'!$B$29/'Non-OECD Europe Eurasia 2000'!$L$29</f>
        <v>4.2255118824797232E-2</v>
      </c>
      <c r="D64" s="40">
        <f>'Non-OECD Europe Eurasia 2005'!$B$29/'Non-OECD Europe Eurasia 2005'!$L$29</f>
        <v>4.8698167791706846E-2</v>
      </c>
      <c r="E64" s="40">
        <f>'Non-OECD Europe Eurasia 2010'!$B$29/'Non-OECD Europe Eurasia 2010'!$L$29</f>
        <v>0.22777196652719664</v>
      </c>
      <c r="F64" s="40">
        <f>'Non-OECD Europe Eurasia 2015'!$B$29/'Non-OECD Europe Eurasia 2015'!$L$29</f>
        <v>5.1086542127335113E-2</v>
      </c>
      <c r="G64" s="40">
        <f>'Non-OECD Europe Eurasia 2018'!$B$29/'Non-OECD Europe Eurasia 2018'!$L$29</f>
        <v>3.6617492096944149E-2</v>
      </c>
      <c r="H64" s="77">
        <f t="shared" si="0"/>
        <v>3.6617492096944149E-2</v>
      </c>
      <c r="I64" s="77">
        <f t="shared" si="0"/>
        <v>3.6617492096944149E-2</v>
      </c>
    </row>
    <row r="65" spans="1:9" x14ac:dyDescent="0.35">
      <c r="A65" s="30" t="s">
        <v>143</v>
      </c>
      <c r="B65" s="40">
        <f>'Non-OECD Europe Eurasia 1995'!$D$29/'Non-OECD Europe Eurasia 1995'!$L$29</f>
        <v>0.19924544639267711</v>
      </c>
      <c r="C65" s="40">
        <f>'Non-OECD Europe Eurasia 2000'!$D$29/'Non-OECD Europe Eurasia 2000'!$L$29</f>
        <v>0.2585219216153366</v>
      </c>
      <c r="D65" s="40">
        <f>'Non-OECD Europe Eurasia 2005'!$D$29/'Non-OECD Europe Eurasia 2005'!$L$29</f>
        <v>0.32504477200716353</v>
      </c>
      <c r="E65" s="40">
        <f>'Non-OECD Europe Eurasia 2010'!$D$29/'Non-OECD Europe Eurasia 2010'!$L$29</f>
        <v>0.36767782426778245</v>
      </c>
      <c r="F65" s="40">
        <f>'Non-OECD Europe Eurasia 2015'!$D$29/'Non-OECD Europe Eurasia 2015'!$L$29</f>
        <v>0.4310903545558521</v>
      </c>
      <c r="G65" s="40">
        <f>'Non-OECD Europe Eurasia 2018'!$D$29/'Non-OECD Europe Eurasia 2018'!$L$29</f>
        <v>0.54438883034773444</v>
      </c>
      <c r="H65" s="77">
        <f t="shared" si="0"/>
        <v>0.54438883034773444</v>
      </c>
      <c r="I65" s="77">
        <f t="shared" si="0"/>
        <v>0.54438883034773444</v>
      </c>
    </row>
    <row r="66" spans="1:9" x14ac:dyDescent="0.35">
      <c r="A66" s="30" t="s">
        <v>241</v>
      </c>
      <c r="B66" s="40">
        <f>'Non-OECD Europe Eurasia 1995'!$E$29/'Non-OECD Europe Eurasia 1995'!$L$29</f>
        <v>0.27460803414045831</v>
      </c>
      <c r="C66" s="40">
        <f>'Non-OECD Europe Eurasia 2000'!$E$29/'Non-OECD Europe Eurasia 2000'!$L$29</f>
        <v>0.31302818898530999</v>
      </c>
      <c r="D66" s="40">
        <f>'Non-OECD Europe Eurasia 2005'!$E$29/'Non-OECD Europe Eurasia 2005'!$L$29</f>
        <v>0.22978371676539469</v>
      </c>
      <c r="E66" s="40">
        <f>'Non-OECD Europe Eurasia 2010'!$E$29/'Non-OECD Europe Eurasia 2010'!$L$29</f>
        <v>7.1391213389121341E-2</v>
      </c>
      <c r="F66" s="40">
        <f>'Non-OECD Europe Eurasia 2015'!$E$29/'Non-OECD Europe Eurasia 2015'!$L$29</f>
        <v>8.1300038124285171E-2</v>
      </c>
      <c r="G66" s="40">
        <f>'Non-OECD Europe Eurasia 2018'!$E$29/'Non-OECD Europe Eurasia 2018'!$L$29</f>
        <v>0.12763435194942044</v>
      </c>
      <c r="H66" s="77">
        <f t="shared" si="0"/>
        <v>0.12763435194942044</v>
      </c>
      <c r="I66" s="77">
        <f t="shared" si="0"/>
        <v>0.12763435194942044</v>
      </c>
    </row>
    <row r="67" spans="1:9" x14ac:dyDescent="0.35">
      <c r="A67" s="30" t="s">
        <v>145</v>
      </c>
      <c r="B67" s="40">
        <f>'Non-OECD Europe Eurasia 1995'!$H$29/'Non-OECD Europe Eurasia 1995'!$L$29</f>
        <v>9.5865417323808639E-4</v>
      </c>
      <c r="C67" s="40">
        <f>'Non-OECD Europe Eurasia 2000'!$H$29/'Non-OECD Europe Eurasia 2000'!$L$29</f>
        <v>1.9851398105609438E-3</v>
      </c>
      <c r="D67" s="40">
        <f>'Non-OECD Europe Eurasia 2005'!$H$29/'Non-OECD Europe Eurasia 2005'!$L$29</f>
        <v>6.8880011020801762E-5</v>
      </c>
      <c r="E67" s="40">
        <f>'Non-OECD Europe Eurasia 2010'!$H$29/'Non-OECD Europe Eurasia 2010'!$L$29</f>
        <v>0</v>
      </c>
      <c r="F67" s="40">
        <f>'Non-OECD Europe Eurasia 2015'!$H$29/'Non-OECD Europe Eurasia 2015'!$L$29</f>
        <v>0</v>
      </c>
      <c r="G67" s="40">
        <f>'Non-OECD Europe Eurasia 2018'!$H$29/'Non-OECD Europe Eurasia 2018'!$L$29</f>
        <v>0</v>
      </c>
      <c r="H67" s="77">
        <f t="shared" si="0"/>
        <v>0</v>
      </c>
      <c r="I67" s="77">
        <f t="shared" si="0"/>
        <v>0</v>
      </c>
    </row>
    <row r="68" spans="1:9" x14ac:dyDescent="0.35">
      <c r="A68" s="30" t="s">
        <v>146</v>
      </c>
      <c r="B68" s="40">
        <f>'Non-OECD Europe Eurasia 1995'!$I$29/'Non-OECD Europe Eurasia 1995'!$L$29</f>
        <v>1.6018801991526735E-2</v>
      </c>
      <c r="C68" s="40">
        <f>'Non-OECD Europe Eurasia 2000'!$I$29/'Non-OECD Europe Eurasia 2000'!$L$29</f>
        <v>3.817140264307186E-2</v>
      </c>
      <c r="D68" s="40">
        <f>'Non-OECD Europe Eurasia 2005'!$I$29/'Non-OECD Europe Eurasia 2005'!$L$29</f>
        <v>2.9480644716903155E-2</v>
      </c>
      <c r="E68" s="40">
        <f>'Non-OECD Europe Eurasia 2010'!$I$29/'Non-OECD Europe Eurasia 2010'!$L$29</f>
        <v>1.455718270571827E-2</v>
      </c>
      <c r="F68" s="40">
        <f>'Non-OECD Europe Eurasia 2015'!$I$29/'Non-OECD Europe Eurasia 2015'!$L$29</f>
        <v>1.1341974837971789E-2</v>
      </c>
      <c r="G68" s="40">
        <f>'Non-OECD Europe Eurasia 2018'!$I$29/'Non-OECD Europe Eurasia 2018'!$L$29</f>
        <v>2.2391991570073762E-3</v>
      </c>
      <c r="H68" s="77">
        <f t="shared" si="0"/>
        <v>2.2391991570073762E-3</v>
      </c>
      <c r="I68" s="77">
        <f t="shared" si="0"/>
        <v>2.2391991570073762E-3</v>
      </c>
    </row>
    <row r="69" spans="1:9" x14ac:dyDescent="0.35">
      <c r="A69" s="30" t="s">
        <v>147</v>
      </c>
      <c r="B69" s="40">
        <f>'Non-OECD Europe Eurasia 1995'!$J$29/'Non-OECD Europe Eurasia 1995'!$L$29</f>
        <v>2.4399294925317748E-2</v>
      </c>
      <c r="C69" s="40">
        <f>'Non-OECD Europe Eurasia 2000'!$J$29/'Non-OECD Europe Eurasia 2000'!$L$29</f>
        <v>4.7529918892859166E-2</v>
      </c>
      <c r="D69" s="40">
        <f>'Non-OECD Europe Eurasia 2005'!$J$29/'Non-OECD Europe Eurasia 2005'!$L$29</f>
        <v>3.4577765532442482E-2</v>
      </c>
      <c r="E69" s="40">
        <f>'Non-OECD Europe Eurasia 2010'!$J$29/'Non-OECD Europe Eurasia 2010'!$L$29</f>
        <v>3.3821478382147836E-2</v>
      </c>
      <c r="F69" s="40">
        <f>'Non-OECD Europe Eurasia 2015'!$J$29/'Non-OECD Europe Eurasia 2015'!$L$29</f>
        <v>3.7647731605032403E-2</v>
      </c>
      <c r="G69" s="40">
        <f>'Non-OECD Europe Eurasia 2018'!$J$29/'Non-OECD Europe Eurasia 2018'!$L$29</f>
        <v>5.6243414120126449E-2</v>
      </c>
      <c r="H69" s="89">
        <f>1-H70-H68-H67-H66-H65-H64</f>
        <v>5.6638566912539601E-2</v>
      </c>
      <c r="I69" s="89">
        <f>1-I70-I68-I67-I66-I65-I64</f>
        <v>5.6638566912539601E-2</v>
      </c>
    </row>
    <row r="70" spans="1:9" x14ac:dyDescent="0.35">
      <c r="A70" s="30" t="s">
        <v>148</v>
      </c>
      <c r="B70" s="40">
        <f>'Non-OECD Europe Eurasia 1995'!$K$29/'Non-OECD Europe Eurasia 1995'!$L$29</f>
        <v>0.38080217707270309</v>
      </c>
      <c r="C70" s="40">
        <f>'Non-OECD Europe Eurasia 2000'!$K$29/'Non-OECD Europe Eurasia 2000'!$L$29</f>
        <v>0.29459474788724405</v>
      </c>
      <c r="D70" s="40">
        <f>'Non-OECD Europe Eurasia 2005'!$K$29/'Non-OECD Europe Eurasia 2005'!$L$29</f>
        <v>0.33241493318638932</v>
      </c>
      <c r="E70" s="40">
        <f>'Non-OECD Europe Eurasia 2010'!$K$29/'Non-OECD Europe Eurasia 2010'!$L$29</f>
        <v>0.28321129707112969</v>
      </c>
      <c r="F70" s="40">
        <f>'Non-OECD Europe Eurasia 2015'!$K$29/'Non-OECD Europe Eurasia 2015'!$L$29</f>
        <v>0.38210064811284788</v>
      </c>
      <c r="G70" s="40">
        <f>'Non-OECD Europe Eurasia 2018'!$K$29/'Non-OECD Europe Eurasia 2018'!$L$29</f>
        <v>0.23248155953635405</v>
      </c>
      <c r="H70" s="77">
        <f t="shared" ref="H70:I132" si="1">G70</f>
        <v>0.23248155953635405</v>
      </c>
      <c r="I70" s="77">
        <f t="shared" si="1"/>
        <v>0.23248155953635405</v>
      </c>
    </row>
    <row r="71" spans="1:9" x14ac:dyDescent="0.35">
      <c r="A71" s="38" t="s">
        <v>155</v>
      </c>
      <c r="B71" s="42"/>
      <c r="C71" s="42"/>
      <c r="D71" s="42"/>
      <c r="E71" s="42"/>
      <c r="F71" s="42"/>
      <c r="G71" s="42"/>
      <c r="H71" s="42"/>
      <c r="I71" s="42"/>
    </row>
    <row r="72" spans="1:9" x14ac:dyDescent="0.35">
      <c r="A72" s="30" t="s">
        <v>147</v>
      </c>
      <c r="B72" s="40">
        <f>'Non-OECD Europe Eurasia 1995'!$J21/IF('Non-OECD Europe Eurasia 1995'!$J22=0,1,'Non-OECD Europe Eurasia 1995'!$J22)*-1</f>
        <v>0.15109780439121756</v>
      </c>
      <c r="C72" s="40">
        <f>'Non-OECD Europe Eurasia 2000'!$J21/IF('Non-OECD Europe Eurasia 2000'!$J22=0,1,'Non-OECD Europe Eurasia 2000'!$J22)*-1</f>
        <v>0.1873700351994052</v>
      </c>
      <c r="D72" s="40">
        <f>'Non-OECD Europe Eurasia 2005'!$J21/IF('Non-OECD Europe Eurasia 2005'!$J22=0,1,'Non-OECD Europe Eurasia 2005'!$J22)*-1</f>
        <v>0.18111379631985075</v>
      </c>
      <c r="E72" s="40">
        <f>'Non-OECD Europe Eurasia 2010'!$J21/IF('Non-OECD Europe Eurasia 2010'!$J22=0,1,'Non-OECD Europe Eurasia 2010'!$J22)*-1</f>
        <v>0.15511293874607784</v>
      </c>
      <c r="F72" s="40">
        <f>'Non-OECD Europe Eurasia 2015'!$J21/IF('Non-OECD Europe Eurasia 2015'!$J22=0,1,'Non-OECD Europe Eurasia 2015'!$J22)*-1</f>
        <v>0.14623232332890321</v>
      </c>
      <c r="G72" s="40">
        <f>'Non-OECD Europe Eurasia 2018'!$J21/IF('Non-OECD Europe Eurasia 2018'!$J22=0,1,'Non-OECD Europe Eurasia 2018'!$J22)*-1</f>
        <v>0.13219775125662397</v>
      </c>
      <c r="H72" s="77">
        <f t="shared" si="1"/>
        <v>0.13219775125662397</v>
      </c>
      <c r="I72" s="77">
        <f t="shared" si="1"/>
        <v>0.13219775125662397</v>
      </c>
    </row>
    <row r="73" spans="1:9" x14ac:dyDescent="0.35">
      <c r="A73" s="30" t="s">
        <v>148</v>
      </c>
      <c r="B73" s="40">
        <f>'Non-OECD Europe Eurasia 1995'!$K21/IF('Non-OECD Europe Eurasia 1995'!$K22=0,1,'Non-OECD Europe Eurasia 1995'!$K22)*-1</f>
        <v>6.2030126951780354E-2</v>
      </c>
      <c r="C73" s="40">
        <f>'Non-OECD Europe Eurasia 2000'!$K21/IF('Non-OECD Europe Eurasia 2000'!$K22=0,1,'Non-OECD Europe Eurasia 2000'!$K22)*-1</f>
        <v>8.5997723779464741E-2</v>
      </c>
      <c r="D73" s="40">
        <f>'Non-OECD Europe Eurasia 2005'!$K21/IF('Non-OECD Europe Eurasia 2005'!$K22=0,1,'Non-OECD Europe Eurasia 2005'!$K22)*-1</f>
        <v>0.12267341301597956</v>
      </c>
      <c r="E73" s="40">
        <f>'Non-OECD Europe Eurasia 2010'!$K21/IF('Non-OECD Europe Eurasia 2010'!$K22=0,1,'Non-OECD Europe Eurasia 2010'!$K22)*-1</f>
        <v>9.6926327267770729E-2</v>
      </c>
      <c r="F73" s="40">
        <f>'Non-OECD Europe Eurasia 2015'!$K21/IF('Non-OECD Europe Eurasia 2015'!$K22=0,1,'Non-OECD Europe Eurasia 2015'!$K22)*-1</f>
        <v>8.6429518646906914E-2</v>
      </c>
      <c r="G73" s="40">
        <f>'Non-OECD Europe Eurasia 2018'!$K21/IF('Non-OECD Europe Eurasia 2018'!$K22=0,1,'Non-OECD Europe Eurasia 2018'!$K22)*-1</f>
        <v>0.10009709462992009</v>
      </c>
      <c r="H73" s="77">
        <f t="shared" si="1"/>
        <v>0.10009709462992009</v>
      </c>
      <c r="I73" s="77">
        <f t="shared" si="1"/>
        <v>0.10009709462992009</v>
      </c>
    </row>
    <row r="74" spans="1:9" x14ac:dyDescent="0.35">
      <c r="A74" s="38" t="s">
        <v>242</v>
      </c>
      <c r="B74" s="42"/>
      <c r="C74" s="42"/>
      <c r="D74" s="42"/>
      <c r="E74" s="42"/>
      <c r="F74" s="42"/>
      <c r="G74" s="42"/>
      <c r="H74" s="42"/>
      <c r="I74" s="42"/>
    </row>
    <row r="75" spans="1:9" x14ac:dyDescent="0.35">
      <c r="A75" s="30" t="s">
        <v>243</v>
      </c>
      <c r="B75" s="40">
        <f>'Non-OECD Europe Eurasia 1995'!$L20/B5*0.041872</f>
        <v>9.8851328307833428E-2</v>
      </c>
      <c r="C75" s="40">
        <f>'Non-OECD Europe Eurasia 2000'!$L20/C5*0.041872</f>
        <v>0.11350504374352671</v>
      </c>
      <c r="D75" s="40">
        <f>'Non-OECD Europe Eurasia 2005'!$L20/D5*0.041872</f>
        <v>0.14397312825256556</v>
      </c>
      <c r="E75" s="40">
        <f>'Non-OECD Europe Eurasia 2010'!$L20/E5*0.041872</f>
        <v>0.16686685132248638</v>
      </c>
      <c r="F75" s="40">
        <f>'Non-OECD Europe Eurasia 2015'!$L20/F5*0.041872</f>
        <v>0.13897979884587944</v>
      </c>
      <c r="G75" s="40">
        <f>'Non-OECD Europe Eurasia 2018'!$L20/G5*0.041872</f>
        <v>0.12462201710506997</v>
      </c>
      <c r="H75" s="77">
        <f t="shared" si="1"/>
        <v>0.12462201710506997</v>
      </c>
      <c r="I75" s="77">
        <f t="shared" si="1"/>
        <v>0.12462201710506997</v>
      </c>
    </row>
    <row r="76" spans="1:9" x14ac:dyDescent="0.35">
      <c r="A76" s="39" t="s">
        <v>158</v>
      </c>
      <c r="B76" s="43"/>
      <c r="C76" s="43"/>
      <c r="D76" s="43"/>
      <c r="E76" s="43"/>
      <c r="F76" s="43"/>
      <c r="G76" s="43"/>
      <c r="H76" s="43">
        <f t="shared" si="1"/>
        <v>0</v>
      </c>
      <c r="I76" s="43">
        <f t="shared" si="1"/>
        <v>0</v>
      </c>
    </row>
    <row r="77" spans="1:9" x14ac:dyDescent="0.35">
      <c r="A77" s="30" t="s">
        <v>147</v>
      </c>
      <c r="B77" s="40">
        <f>'Non-OECD Europe Eurasia 1995'!$J20/'Non-OECD Europe Eurasia 1995'!$L20</f>
        <v>0.27387909881775596</v>
      </c>
      <c r="C77" s="40">
        <f>'Non-OECD Europe Eurasia 2000'!$J20/'Non-OECD Europe Eurasia 2000'!$L20</f>
        <v>0.27980635223355094</v>
      </c>
      <c r="D77" s="40">
        <f>'Non-OECD Europe Eurasia 2005'!$J20/'Non-OECD Europe Eurasia 2005'!$L20</f>
        <v>0.23995807796586999</v>
      </c>
      <c r="E77" s="40">
        <f>'Non-OECD Europe Eurasia 2010'!$J20/'Non-OECD Europe Eurasia 2010'!$L20</f>
        <v>0.22973781420038553</v>
      </c>
      <c r="F77" s="40">
        <f>'Non-OECD Europe Eurasia 2015'!$J20/'Non-OECD Europe Eurasia 2015'!$L20</f>
        <v>0.29109046887367884</v>
      </c>
      <c r="G77" s="40">
        <f>'Non-OECD Europe Eurasia 2018'!$J20/'Non-OECD Europe Eurasia 2018'!$L20</f>
        <v>0.31395999190794094</v>
      </c>
      <c r="H77" s="89">
        <f>1-H78-H79-H80-H81-H82-H83</f>
        <v>0.31394809182107031</v>
      </c>
      <c r="I77" s="89">
        <f>1-I78-I79-I80-I81-I82-I83</f>
        <v>0.31394809182107031</v>
      </c>
    </row>
    <row r="78" spans="1:9" x14ac:dyDescent="0.35">
      <c r="A78" s="30" t="s">
        <v>148</v>
      </c>
      <c r="B78" s="40">
        <f>'Non-OECD Europe Eurasia 1995'!$K20/'Non-OECD Europe Eurasia 1995'!$L20</f>
        <v>0.25405606364785488</v>
      </c>
      <c r="C78" s="40">
        <f>'Non-OECD Europe Eurasia 2000'!$K20/'Non-OECD Europe Eurasia 2000'!$L20</f>
        <v>0.1697792122056774</v>
      </c>
      <c r="D78" s="40">
        <f>'Non-OECD Europe Eurasia 2005'!$K20/'Non-OECD Europe Eurasia 2005'!$L20</f>
        <v>0.20291175867489919</v>
      </c>
      <c r="E78" s="40">
        <f>'Non-OECD Europe Eurasia 2010'!$K20/'Non-OECD Europe Eurasia 2010'!$L20</f>
        <v>0.20551340366737253</v>
      </c>
      <c r="F78" s="40">
        <f>'Non-OECD Europe Eurasia 2015'!$K20/'Non-OECD Europe Eurasia 2015'!$L20</f>
        <v>0.20327559715044</v>
      </c>
      <c r="G78" s="40">
        <f>'Non-OECD Europe Eurasia 2018'!$K20/'Non-OECD Europe Eurasia 2018'!$L20</f>
        <v>0.2020753751502386</v>
      </c>
      <c r="H78" s="77">
        <f t="shared" si="1"/>
        <v>0.2020753751502386</v>
      </c>
      <c r="I78" s="77">
        <f t="shared" si="1"/>
        <v>0.2020753751502386</v>
      </c>
    </row>
    <row r="79" spans="1:9" x14ac:dyDescent="0.35">
      <c r="A79" s="30" t="s">
        <v>141</v>
      </c>
      <c r="B79" s="40">
        <f>'Non-OECD Europe Eurasia 1995'!$B20/'Non-OECD Europe Eurasia 1995'!$L20</f>
        <v>5.1527994646442116E-2</v>
      </c>
      <c r="C79" s="40">
        <f>'Non-OECD Europe Eurasia 2000'!$B20/'Non-OECD Europe Eurasia 2000'!$L20</f>
        <v>4.9541553583217192E-2</v>
      </c>
      <c r="D79" s="40">
        <f>'Non-OECD Europe Eurasia 2005'!$B20/'Non-OECD Europe Eurasia 2005'!$L20</f>
        <v>4.2411883985327289E-2</v>
      </c>
      <c r="E79" s="40">
        <f>'Non-OECD Europe Eurasia 2010'!$B20/'Non-OECD Europe Eurasia 2010'!$L20</f>
        <v>4.8790678682328809E-2</v>
      </c>
      <c r="F79" s="40">
        <f>'Non-OECD Europe Eurasia 2015'!$B20/'Non-OECD Europe Eurasia 2015'!$L20</f>
        <v>4.1905294035479816E-2</v>
      </c>
      <c r="G79" s="40">
        <f>'Non-OECD Europe Eurasia 2018'!$B20/'Non-OECD Europe Eurasia 2018'!$L20</f>
        <v>4.184070543714969E-2</v>
      </c>
      <c r="H79" s="77">
        <f t="shared" si="1"/>
        <v>4.184070543714969E-2</v>
      </c>
      <c r="I79" s="77">
        <f t="shared" si="1"/>
        <v>4.184070543714969E-2</v>
      </c>
    </row>
    <row r="80" spans="1:9" x14ac:dyDescent="0.35">
      <c r="A80" s="30" t="s">
        <v>244</v>
      </c>
      <c r="B80" s="40">
        <f>'Non-OECD Europe Eurasia 1995'!$E20/'Non-OECD Europe Eurasia 1995'!$L20</f>
        <v>0.24615956576697151</v>
      </c>
      <c r="C80" s="40">
        <f>'Non-OECD Europe Eurasia 2000'!$E20/'Non-OECD Europe Eurasia 2000'!$L20</f>
        <v>0.26594293259003887</v>
      </c>
      <c r="D80" s="40">
        <f>'Non-OECD Europe Eurasia 2005'!$E20/'Non-OECD Europe Eurasia 2005'!$L20</f>
        <v>0.30328541158779704</v>
      </c>
      <c r="E80" s="40">
        <f>'Non-OECD Europe Eurasia 2010'!$E20/'Non-OECD Europe Eurasia 2010'!$L20</f>
        <v>0.34049968188249596</v>
      </c>
      <c r="F80" s="40">
        <f>'Non-OECD Europe Eurasia 2015'!$E20/'Non-OECD Europe Eurasia 2015'!$L20</f>
        <v>0.22100386459933882</v>
      </c>
      <c r="G80" s="40">
        <f>'Non-OECD Europe Eurasia 2018'!$E20/'Non-OECD Europe Eurasia 2018'!$L20</f>
        <v>0.31835112396320492</v>
      </c>
      <c r="H80" s="77">
        <f t="shared" si="1"/>
        <v>0.31835112396320492</v>
      </c>
      <c r="I80" s="77">
        <f t="shared" si="1"/>
        <v>0.31835112396320492</v>
      </c>
    </row>
    <row r="81" spans="1:9" x14ac:dyDescent="0.35">
      <c r="A81" s="30" t="s">
        <v>160</v>
      </c>
      <c r="B81" s="40">
        <f>'Non-OECD Europe Eurasia 1995'!$C20/'Non-OECD Europe Eurasia 1995'!$L20</f>
        <v>3.6032418767194589E-2</v>
      </c>
      <c r="C81" s="40">
        <f>'Non-OECD Europe Eurasia 2000'!$C20/'Non-OECD Europe Eurasia 2000'!$L20</f>
        <v>2.3809873102031833E-2</v>
      </c>
      <c r="D81" s="40">
        <f>'Non-OECD Europe Eurasia 2005'!$C20/'Non-OECD Europe Eurasia 2005'!$L20</f>
        <v>4.1808115558998431E-3</v>
      </c>
      <c r="E81" s="40">
        <f>'Non-OECD Europe Eurasia 2010'!$C20/'Non-OECD Europe Eurasia 2010'!$L20</f>
        <v>6.9226167301318997E-3</v>
      </c>
      <c r="F81" s="40">
        <f>'Non-OECD Europe Eurasia 2015'!$C20/'Non-OECD Europe Eurasia 2015'!$L20</f>
        <v>1.618009964147693E-2</v>
      </c>
      <c r="G81" s="40">
        <f>'Non-OECD Europe Eurasia 2018'!$C20/'Non-OECD Europe Eurasia 2018'!$L20</f>
        <v>2.4894981733366652E-2</v>
      </c>
      <c r="H81" s="77">
        <f t="shared" si="1"/>
        <v>2.4894981733366652E-2</v>
      </c>
      <c r="I81" s="77">
        <f t="shared" si="1"/>
        <v>2.4894981733366652E-2</v>
      </c>
    </row>
    <row r="82" spans="1:9" x14ac:dyDescent="0.35">
      <c r="A82" s="30" t="s">
        <v>143</v>
      </c>
      <c r="B82" s="40">
        <f>'Non-OECD Europe Eurasia 1995'!$D20/'Non-OECD Europe Eurasia 1995'!$L20</f>
        <v>0.13688750092943713</v>
      </c>
      <c r="C82" s="40">
        <f>'Non-OECD Europe Eurasia 2000'!$D20/'Non-OECD Europe Eurasia 2000'!$L20</f>
        <v>0.20941832318638598</v>
      </c>
      <c r="D82" s="40">
        <f>'Non-OECD Europe Eurasia 2005'!$D20/'Non-OECD Europe Eurasia 2005'!$L20</f>
        <v>0.20407372809915472</v>
      </c>
      <c r="E82" s="40">
        <f>'Non-OECD Europe Eurasia 2010'!$D20/'Non-OECD Europe Eurasia 2010'!$L20</f>
        <v>0.16703542974351182</v>
      </c>
      <c r="F82" s="40">
        <f>'Non-OECD Europe Eurasia 2015'!$D20/'Non-OECD Europe Eurasia 2015'!$L20</f>
        <v>0.22294780462820693</v>
      </c>
      <c r="G82" s="40">
        <f>'Non-OECD Europe Eurasia 2018'!$D20/'Non-OECD Europe Eurasia 2018'!$L20</f>
        <v>9.659300512893744E-2</v>
      </c>
      <c r="H82" s="77">
        <f t="shared" si="1"/>
        <v>9.659300512893744E-2</v>
      </c>
      <c r="I82" s="77">
        <f t="shared" si="1"/>
        <v>9.659300512893744E-2</v>
      </c>
    </row>
    <row r="83" spans="1:9" x14ac:dyDescent="0.35">
      <c r="A83" s="30" t="s">
        <v>161</v>
      </c>
      <c r="B83" s="40">
        <f>'Non-OECD Europe Eurasia 1995'!$I20/'Non-OECD Europe Eurasia 1995'!$L20</f>
        <v>1.4573574243438173E-3</v>
      </c>
      <c r="C83" s="40">
        <f>'Non-OECD Europe Eurasia 2000'!$I20/'Non-OECD Europe Eurasia 2000'!$L20</f>
        <v>1.7164233844348272E-3</v>
      </c>
      <c r="D83" s="40">
        <f>'Non-OECD Europe Eurasia 2005'!$I20/'Non-OECD Europe Eurasia 2005'!$L20</f>
        <v>3.1783281310519239E-3</v>
      </c>
      <c r="E83" s="40">
        <f>'Non-OECD Europe Eurasia 2010'!$I20/'Non-OECD Europe Eurasia 2010'!$L20</f>
        <v>1.490879048876143E-3</v>
      </c>
      <c r="F83" s="40">
        <f>'Non-OECD Europe Eurasia 2015'!$I20/'Non-OECD Europe Eurasia 2015'!$L20</f>
        <v>3.6085114308329843E-3</v>
      </c>
      <c r="G83" s="40">
        <f>'Non-OECD Europe Eurasia 2018'!$I20/'Non-OECD Europe Eurasia 2018'!$L20</f>
        <v>2.2967167660323919E-3</v>
      </c>
      <c r="H83" s="77">
        <f t="shared" si="1"/>
        <v>2.2967167660323919E-3</v>
      </c>
      <c r="I83" s="77">
        <f t="shared" si="1"/>
        <v>2.2967167660323919E-3</v>
      </c>
    </row>
    <row r="84" spans="1:9" ht="18.75" customHeight="1" x14ac:dyDescent="0.35">
      <c r="A84" s="32" t="s">
        <v>162</v>
      </c>
      <c r="B84" s="82"/>
      <c r="C84" s="82"/>
      <c r="D84" s="82"/>
      <c r="E84" s="82"/>
      <c r="F84" s="82"/>
      <c r="G84" s="82"/>
      <c r="H84" s="42"/>
      <c r="I84" s="42"/>
    </row>
    <row r="85" spans="1:9" x14ac:dyDescent="0.35">
      <c r="A85" s="30" t="s">
        <v>163</v>
      </c>
      <c r="B85" s="40">
        <f>'Non-OECD Europe Eurasia 1995'!$K13/IF(('Non-OECD Europe Eurasia 1995'!$K13+'Non-OECD Europe Eurasia 1995'!$K14)=0,1,('Non-OECD Europe Eurasia 1995'!$K13+'Non-OECD Europe Eurasia 1995'!$K14))</f>
        <v>0.47524258765527422</v>
      </c>
      <c r="C85" s="40">
        <f>'Non-OECD Europe Eurasia 2000'!$K13/IF(('Non-OECD Europe Eurasia 2000'!$K13+'Non-OECD Europe Eurasia 2000'!$K14)=0,1,('Non-OECD Europe Eurasia 2000'!$K13+'Non-OECD Europe Eurasia 2000'!$K14))</f>
        <v>0.48756603399447829</v>
      </c>
      <c r="D85" s="40">
        <f>'Non-OECD Europe Eurasia 2005'!$K13/IF(('Non-OECD Europe Eurasia 2005'!$K13+'Non-OECD Europe Eurasia 2005'!$K14)=0,1,('Non-OECD Europe Eurasia 2005'!$K13+'Non-OECD Europe Eurasia 2005'!$K14))</f>
        <v>0.4608477086418723</v>
      </c>
      <c r="E85" s="40">
        <f>'Non-OECD Europe Eurasia 2010'!$K13/IF(('Non-OECD Europe Eurasia 2010'!$K13+'Non-OECD Europe Eurasia 2010'!$K14)=0,1,('Non-OECD Europe Eurasia 2010'!$K13+'Non-OECD Europe Eurasia 2010'!$K14))</f>
        <v>0.48308747967833315</v>
      </c>
      <c r="F85" s="40">
        <f>'Non-OECD Europe Eurasia 2015'!$K13/IF(('Non-OECD Europe Eurasia 2015'!$K13+'Non-OECD Europe Eurasia 2015'!$K14)=0,1,('Non-OECD Europe Eurasia 2015'!$K13+'Non-OECD Europe Eurasia 2015'!$K14))</f>
        <v>0.57150705583983341</v>
      </c>
      <c r="G85" s="40">
        <f>'Non-OECD Europe Eurasia 2018'!$K13/IF(('Non-OECD Europe Eurasia 2018'!$K13+'Non-OECD Europe Eurasia 2018'!$K14)=0,1,('Non-OECD Europe Eurasia 2018'!$K13+'Non-OECD Europe Eurasia 2018'!$K14))</f>
        <v>0.57093804033701756</v>
      </c>
      <c r="H85" s="89">
        <f>1-H86</f>
        <v>0.57093804033701756</v>
      </c>
      <c r="I85" s="89">
        <f>1-I86</f>
        <v>0.57093804033701756</v>
      </c>
    </row>
    <row r="86" spans="1:9" x14ac:dyDescent="0.35">
      <c r="A86" s="30" t="s">
        <v>164</v>
      </c>
      <c r="B86" s="40">
        <f>'Non-OECD Europe Eurasia 1995'!$K14/IF(('Non-OECD Europe Eurasia 1995'!$K13+'Non-OECD Europe Eurasia 1995'!$K14)=0,1,('Non-OECD Europe Eurasia 1995'!$K13+'Non-OECD Europe Eurasia 1995'!$K14))</f>
        <v>0.52475741234472584</v>
      </c>
      <c r="C86" s="40">
        <f>'Non-OECD Europe Eurasia 2000'!$K14/IF(('Non-OECD Europe Eurasia 2000'!$K13+'Non-OECD Europe Eurasia 2000'!$K14)=0,1,('Non-OECD Europe Eurasia 2000'!$K13+'Non-OECD Europe Eurasia 2000'!$K14))</f>
        <v>0.51243396600552171</v>
      </c>
      <c r="D86" s="40">
        <f>'Non-OECD Europe Eurasia 2005'!$K14/IF(('Non-OECD Europe Eurasia 2005'!$K13+'Non-OECD Europe Eurasia 2005'!$K14)=0,1,('Non-OECD Europe Eurasia 2005'!$K13+'Non-OECD Europe Eurasia 2005'!$K14))</f>
        <v>0.5391522913581277</v>
      </c>
      <c r="E86" s="40">
        <f>'Non-OECD Europe Eurasia 2010'!$K14/IF(('Non-OECD Europe Eurasia 2010'!$K13+'Non-OECD Europe Eurasia 2010'!$K14)=0,1,('Non-OECD Europe Eurasia 2010'!$K13+'Non-OECD Europe Eurasia 2010'!$K14))</f>
        <v>0.51691252032166679</v>
      </c>
      <c r="F86" s="40">
        <f>'Non-OECD Europe Eurasia 2015'!$K14/IF(('Non-OECD Europe Eurasia 2015'!$K13+'Non-OECD Europe Eurasia 2015'!$K14)=0,1,('Non-OECD Europe Eurasia 2015'!$K13+'Non-OECD Europe Eurasia 2015'!$K14))</f>
        <v>0.42849294416016659</v>
      </c>
      <c r="G86" s="40">
        <f>'Non-OECD Europe Eurasia 2018'!$K14/IF(('Non-OECD Europe Eurasia 2018'!$K13+'Non-OECD Europe Eurasia 2018'!$K14)=0,1,('Non-OECD Europe Eurasia 2018'!$K13+'Non-OECD Europe Eurasia 2018'!$K14))</f>
        <v>0.42906195966298244</v>
      </c>
      <c r="H86" s="77">
        <f t="shared" si="1"/>
        <v>0.42906195966298244</v>
      </c>
      <c r="I86" s="77">
        <f t="shared" si="1"/>
        <v>0.42906195966298244</v>
      </c>
    </row>
    <row r="87" spans="1:9" x14ac:dyDescent="0.35">
      <c r="A87" s="32" t="s">
        <v>165</v>
      </c>
      <c r="B87" s="82"/>
      <c r="C87" s="82"/>
      <c r="D87" s="82"/>
      <c r="E87" s="82"/>
      <c r="F87" s="82"/>
      <c r="G87" s="82"/>
      <c r="H87" s="42"/>
      <c r="I87" s="42"/>
    </row>
    <row r="88" spans="1:9" x14ac:dyDescent="0.35">
      <c r="A88" s="30" t="s">
        <v>166</v>
      </c>
      <c r="B88" s="40">
        <f>'Non-OECD Europe Eurasia 1995'!$J14/IF('Non-OECD Europe Eurasia 1995'!$K14=0,1,'Non-OECD Europe Eurasia 1995'!$K14)*-1</f>
        <v>0</v>
      </c>
      <c r="C88" s="40">
        <f>'Non-OECD Europe Eurasia 2000'!$J14/IF('Non-OECD Europe Eurasia 2000'!$K14=0,1,'Non-OECD Europe Eurasia 2000'!$K14)*-1</f>
        <v>0</v>
      </c>
      <c r="D88" s="40">
        <f>'Non-OECD Europe Eurasia 2005'!$J14/IF('Non-OECD Europe Eurasia 2005'!$K14=0,1,'Non-OECD Europe Eurasia 2005'!$K14)*-1</f>
        <v>0</v>
      </c>
      <c r="E88" s="40">
        <f>'Non-OECD Europe Eurasia 2010'!$J14/IF('Non-OECD Europe Eurasia 2010'!$K14=0,1,'Non-OECD Europe Eurasia 2010'!$K14)*-1</f>
        <v>0</v>
      </c>
      <c r="F88" s="40">
        <f>'Non-OECD Europe Eurasia 2015'!$J14/IF('Non-OECD Europe Eurasia 2015'!$K14=0,1,'Non-OECD Europe Eurasia 2015'!$K14)*-1</f>
        <v>0</v>
      </c>
      <c r="G88" s="40">
        <f>'Non-OECD Europe Eurasia 2018'!$J14/IF('Non-OECD Europe Eurasia 2018'!$K14=0,1,'Non-OECD Europe Eurasia 2018'!$K14)*-1</f>
        <v>4.7846208615165541E-3</v>
      </c>
      <c r="H88" s="77">
        <f t="shared" si="1"/>
        <v>4.7846208615165541E-3</v>
      </c>
      <c r="I88" s="77">
        <f t="shared" si="1"/>
        <v>4.7846208615165541E-3</v>
      </c>
    </row>
    <row r="89" spans="1:9" ht="18.75" customHeight="1" x14ac:dyDescent="0.35">
      <c r="A89" s="32" t="s">
        <v>167</v>
      </c>
      <c r="B89" s="82"/>
      <c r="C89" s="82"/>
      <c r="D89" s="82"/>
      <c r="E89" s="82"/>
      <c r="F89" s="82"/>
      <c r="G89" s="82"/>
      <c r="H89" s="42"/>
      <c r="I89" s="42"/>
    </row>
    <row r="90" spans="1:9" x14ac:dyDescent="0.35">
      <c r="A90" s="30" t="s">
        <v>168</v>
      </c>
      <c r="B90" s="34">
        <f>'Non-OECD Europe Eurasia 1995'!$J13/IF('Non-OECD Europe Eurasia 1995'!$K13=0,1,'Non-OECD Europe Eurasia 1995'!$K13)</f>
        <v>0.55344389913690983</v>
      </c>
      <c r="C90" s="34">
        <f>'Non-OECD Europe Eurasia 2000'!$J13/IF('Non-OECD Europe Eurasia 2000'!$K13=0,1,'Non-OECD Europe Eurasia 2000'!$K13)</f>
        <v>0.65731954032577633</v>
      </c>
      <c r="D90" s="34">
        <f>'Non-OECD Europe Eurasia 2005'!$J13/IF('Non-OECD Europe Eurasia 2005'!$K13=0,1,'Non-OECD Europe Eurasia 2005'!$K13)</f>
        <v>0.80123113132821866</v>
      </c>
      <c r="E90" s="34">
        <f>'Non-OECD Europe Eurasia 2010'!$J13/IF('Non-OECD Europe Eurasia 2010'!$K13=0,1,'Non-OECD Europe Eurasia 2010'!$K13)</f>
        <v>0.85530343958220778</v>
      </c>
      <c r="F90" s="34">
        <f>'Non-OECD Europe Eurasia 2015'!$J13/IF('Non-OECD Europe Eurasia 2015'!$K13=0,1,'Non-OECD Europe Eurasia 2015'!$K13)</f>
        <v>0.85568174196865709</v>
      </c>
      <c r="G90" s="34">
        <f>'Non-OECD Europe Eurasia 2018'!$J13/IF('Non-OECD Europe Eurasia 2018'!$K13=0,1,'Non-OECD Europe Eurasia 2018'!$K13)</f>
        <v>0.84774094129229716</v>
      </c>
      <c r="H90" s="78">
        <f t="shared" si="1"/>
        <v>0.84774094129229716</v>
      </c>
      <c r="I90" s="78">
        <f t="shared" si="1"/>
        <v>0.84774094129229716</v>
      </c>
    </row>
    <row r="91" spans="1:9" ht="18.75" customHeight="1" x14ac:dyDescent="0.35">
      <c r="A91" s="32" t="s">
        <v>169</v>
      </c>
      <c r="B91" s="82"/>
      <c r="C91" s="82"/>
      <c r="D91" s="82"/>
      <c r="E91" s="82"/>
      <c r="F91" s="82"/>
      <c r="G91" s="82"/>
      <c r="H91" s="33"/>
      <c r="I91" s="33"/>
    </row>
    <row r="92" spans="1:9" x14ac:dyDescent="0.35">
      <c r="A92" s="30" t="s">
        <v>170</v>
      </c>
      <c r="B92" s="40">
        <v>1</v>
      </c>
      <c r="C92" s="40">
        <v>1</v>
      </c>
      <c r="D92" s="40">
        <v>1</v>
      </c>
      <c r="E92" s="40">
        <v>1</v>
      </c>
      <c r="F92" s="40">
        <v>1</v>
      </c>
      <c r="G92" s="40">
        <v>1</v>
      </c>
      <c r="H92" s="77">
        <f t="shared" si="1"/>
        <v>1</v>
      </c>
      <c r="I92" s="77">
        <f t="shared" si="1"/>
        <v>1</v>
      </c>
    </row>
    <row r="93" spans="1:9" x14ac:dyDescent="0.35">
      <c r="A93" s="32" t="s">
        <v>171</v>
      </c>
      <c r="B93" s="82"/>
      <c r="C93" s="82"/>
      <c r="D93" s="82"/>
      <c r="E93" s="82"/>
      <c r="F93" s="82"/>
      <c r="G93" s="82"/>
      <c r="H93" s="42"/>
      <c r="I93" s="42"/>
    </row>
    <row r="94" spans="1:9" x14ac:dyDescent="0.35">
      <c r="A94" s="30" t="s">
        <v>172</v>
      </c>
      <c r="B94" s="40">
        <f>'Non-OECD Europe Eurasia 1995'!$G12/'Non-OECD Europe Eurasia 1995'!$J12*-1</f>
        <v>0.41443943075321071</v>
      </c>
      <c r="C94" s="40">
        <f>'Non-OECD Europe Eurasia 2000'!$G12/'Non-OECD Europe Eurasia 2000'!$J12*-1</f>
        <v>0.39147121535181234</v>
      </c>
      <c r="D94" s="40">
        <f>'Non-OECD Europe Eurasia 2005'!$G12/'Non-OECD Europe Eurasia 2005'!$J12*-1</f>
        <v>0.407242953865533</v>
      </c>
      <c r="E94" s="40">
        <f>'Non-OECD Europe Eurasia 2010'!$G12/'Non-OECD Europe Eurasia 2010'!$J12*-1</f>
        <v>0.38023060917812967</v>
      </c>
      <c r="F94" s="40">
        <f>'Non-OECD Europe Eurasia 2015'!$G12/'Non-OECD Europe Eurasia 2015'!$J12*-1</f>
        <v>0.34288881405399335</v>
      </c>
      <c r="G94" s="40">
        <f>'Non-OECD Europe Eurasia 2018'!$G12/'Non-OECD Europe Eurasia 2018'!$J12*-1</f>
        <v>0.37014163481756746</v>
      </c>
      <c r="H94" s="77">
        <f t="shared" si="1"/>
        <v>0.37014163481756746</v>
      </c>
      <c r="I94" s="77">
        <f t="shared" si="1"/>
        <v>0.37014163481756746</v>
      </c>
    </row>
    <row r="95" spans="1:9" x14ac:dyDescent="0.35">
      <c r="A95" s="30" t="s">
        <v>145</v>
      </c>
      <c r="B95" s="40">
        <f>'Non-OECD Europe Eurasia 1995'!$H12/'Non-OECD Europe Eurasia 1995'!$J12*-1</f>
        <v>4.5123221103783411E-4</v>
      </c>
      <c r="C95" s="40">
        <f>'Non-OECD Europe Eurasia 2000'!$H12/'Non-OECD Europe Eurasia 2000'!$J12*-1</f>
        <v>8.6993603411513864E-4</v>
      </c>
      <c r="D95" s="40">
        <f>'Non-OECD Europe Eurasia 2005'!$H12/'Non-OECD Europe Eurasia 2005'!$J12*-1</f>
        <v>5.6369075736104552E-3</v>
      </c>
      <c r="E95" s="40">
        <f>'Non-OECD Europe Eurasia 2010'!$H12/'Non-OECD Europe Eurasia 2010'!$J12*-1</f>
        <v>7.7592185874465376E-3</v>
      </c>
      <c r="F95" s="40">
        <f>'Non-OECD Europe Eurasia 2015'!$H12/'Non-OECD Europe Eurasia 2015'!$J12*-1</f>
        <v>2.0387831845989784E-2</v>
      </c>
      <c r="G95" s="40">
        <f>'Non-OECD Europe Eurasia 2018'!$H12/'Non-OECD Europe Eurasia 2018'!$J12*-1</f>
        <v>2.1833714640887632E-2</v>
      </c>
      <c r="H95" s="77">
        <f t="shared" si="1"/>
        <v>2.1833714640887632E-2</v>
      </c>
      <c r="I95" s="77">
        <f t="shared" si="1"/>
        <v>2.1833714640887632E-2</v>
      </c>
    </row>
    <row r="96" spans="1:9" x14ac:dyDescent="0.35">
      <c r="A96" s="30" t="s">
        <v>173</v>
      </c>
      <c r="B96" s="40">
        <f t="shared" ref="B96:G96" si="2">1-B94-B95</f>
        <v>0.58510933703575152</v>
      </c>
      <c r="C96" s="40">
        <f t="shared" si="2"/>
        <v>0.6076588486140726</v>
      </c>
      <c r="D96" s="40">
        <f t="shared" si="2"/>
        <v>0.58712013856085654</v>
      </c>
      <c r="E96" s="40">
        <f t="shared" si="2"/>
        <v>0.61201017223442378</v>
      </c>
      <c r="F96" s="40">
        <f t="shared" si="2"/>
        <v>0.63672335410001679</v>
      </c>
      <c r="G96" s="40">
        <f t="shared" si="2"/>
        <v>0.60802465054154486</v>
      </c>
      <c r="H96" s="89">
        <f>1-H95-H94</f>
        <v>0.60802465054154486</v>
      </c>
      <c r="I96" s="89">
        <f>1-I95-I94</f>
        <v>0.60802465054154486</v>
      </c>
    </row>
    <row r="97" spans="1:9" x14ac:dyDescent="0.35">
      <c r="A97" s="32" t="s">
        <v>174</v>
      </c>
      <c r="B97" s="82"/>
      <c r="C97" s="82"/>
      <c r="D97" s="82"/>
      <c r="E97" s="82"/>
      <c r="F97" s="82"/>
      <c r="G97" s="82"/>
      <c r="H97" s="42"/>
      <c r="I97" s="42"/>
    </row>
    <row r="98" spans="1:9" x14ac:dyDescent="0.35">
      <c r="A98" s="30" t="s">
        <v>145</v>
      </c>
      <c r="B98" s="40">
        <f>'Non-OECD Europe Eurasia 1995'!$H13/IF(('Non-OECD Europe Eurasia 1995'!$J13+'Non-OECD Europe Eurasia 1995'!$K13)=0,1,('Non-OECD Europe Eurasia 1995'!$J13+'Non-OECD Europe Eurasia 1995'!$K13))*-1</f>
        <v>0</v>
      </c>
      <c r="C98" s="40">
        <f>'Non-OECD Europe Eurasia 2000'!$H13/IF(('Non-OECD Europe Eurasia 2000'!$J13+'Non-OECD Europe Eurasia 2000'!$K13)=0,1,('Non-OECD Europe Eurasia 2000'!$J13+'Non-OECD Europe Eurasia 2000'!$K13))*-1</f>
        <v>0</v>
      </c>
      <c r="D98" s="40">
        <f>'Non-OECD Europe Eurasia 2005'!$H13/IF(('Non-OECD Europe Eurasia 2005'!$J13+'Non-OECD Europe Eurasia 2005'!$K13)=0,1,('Non-OECD Europe Eurasia 2005'!$J13+'Non-OECD Europe Eurasia 2005'!$K13))*-1</f>
        <v>0</v>
      </c>
      <c r="E98" s="40">
        <f>'Non-OECD Europe Eurasia 2010'!$H13/IF(('Non-OECD Europe Eurasia 2010'!$J13+'Non-OECD Europe Eurasia 2010'!$K13)=0,1,('Non-OECD Europe Eurasia 2010'!$J13+'Non-OECD Europe Eurasia 2010'!$K13))*-1</f>
        <v>0</v>
      </c>
      <c r="F98" s="40">
        <f>'Non-OECD Europe Eurasia 2015'!$H13/IF(('Non-OECD Europe Eurasia 2015'!$J13+'Non-OECD Europe Eurasia 2015'!$K13)=0,1,('Non-OECD Europe Eurasia 2015'!$J13+'Non-OECD Europe Eurasia 2015'!$K13))*-1</f>
        <v>0</v>
      </c>
      <c r="G98" s="40">
        <f>'Non-OECD Europe Eurasia 2018'!$H13/IF(('Non-OECD Europe Eurasia 2018'!$J13+'Non-OECD Europe Eurasia 2018'!$K13)=0,1,('Non-OECD Europe Eurasia 2018'!$J13+'Non-OECD Europe Eurasia 2018'!$K13))*-1</f>
        <v>0</v>
      </c>
      <c r="H98" s="77">
        <f t="shared" si="1"/>
        <v>0</v>
      </c>
      <c r="I98" s="77">
        <f t="shared" si="1"/>
        <v>0</v>
      </c>
    </row>
    <row r="99" spans="1:9" x14ac:dyDescent="0.35">
      <c r="A99" s="30" t="s">
        <v>173</v>
      </c>
      <c r="B99" s="40">
        <f t="shared" ref="B99:G99" si="3">1-B98</f>
        <v>1</v>
      </c>
      <c r="C99" s="40">
        <f t="shared" si="3"/>
        <v>1</v>
      </c>
      <c r="D99" s="40">
        <f t="shared" si="3"/>
        <v>1</v>
      </c>
      <c r="E99" s="40">
        <f t="shared" si="3"/>
        <v>1</v>
      </c>
      <c r="F99" s="40">
        <f t="shared" si="3"/>
        <v>1</v>
      </c>
      <c r="G99" s="40">
        <f t="shared" si="3"/>
        <v>1</v>
      </c>
      <c r="H99" s="89">
        <f>1-H98</f>
        <v>1</v>
      </c>
      <c r="I99" s="89">
        <f>1-I98</f>
        <v>1</v>
      </c>
    </row>
    <row r="100" spans="1:9" x14ac:dyDescent="0.35">
      <c r="A100" s="32" t="s">
        <v>175</v>
      </c>
      <c r="B100" s="82"/>
      <c r="C100" s="82"/>
      <c r="D100" s="82"/>
      <c r="E100" s="82"/>
      <c r="F100" s="82"/>
      <c r="G100" s="82"/>
      <c r="H100" s="42"/>
      <c r="I100" s="42"/>
    </row>
    <row r="101" spans="1:9" x14ac:dyDescent="0.35">
      <c r="A101" s="30" t="s">
        <v>145</v>
      </c>
      <c r="B101" s="40">
        <f>'Non-OECD Europe Eurasia 1995'!$H14/IF('Non-OECD Europe Eurasia 1995'!$K14=0,1,'Non-OECD Europe Eurasia 1995'!$K14)*-1</f>
        <v>0</v>
      </c>
      <c r="C101" s="40">
        <f>'Non-OECD Europe Eurasia 2000'!$H14/IF('Non-OECD Europe Eurasia 2000'!$K14=0,1,'Non-OECD Europe Eurasia 2000'!$K14)*-1</f>
        <v>0</v>
      </c>
      <c r="D101" s="40">
        <f>'Non-OECD Europe Eurasia 2005'!$H14/IF('Non-OECD Europe Eurasia 2005'!$K14=0,1,'Non-OECD Europe Eurasia 2005'!$K14)*-1</f>
        <v>9.6721152916142765E-6</v>
      </c>
      <c r="E101" s="40">
        <f>'Non-OECD Europe Eurasia 2010'!$H14/IF('Non-OECD Europe Eurasia 2010'!$K14=0,1,'Non-OECD Europe Eurasia 2010'!$K14)*-1</f>
        <v>0</v>
      </c>
      <c r="F101" s="40">
        <f>'Non-OECD Europe Eurasia 2015'!$H14/IF('Non-OECD Europe Eurasia 2015'!$K14=0,1,'Non-OECD Europe Eurasia 2015'!$K14)*-1</f>
        <v>2.9817368617219528E-4</v>
      </c>
      <c r="G101" s="40">
        <f>'Non-OECD Europe Eurasia 2018'!$H14/IF('Non-OECD Europe Eurasia 2018'!$K14=0,1,'Non-OECD Europe Eurasia 2018'!$K14)*-1</f>
        <v>1.9935920256318975E-4</v>
      </c>
      <c r="H101" s="77">
        <f t="shared" si="1"/>
        <v>1.9935920256318975E-4</v>
      </c>
      <c r="I101" s="77">
        <f t="shared" si="1"/>
        <v>1.9935920256318975E-4</v>
      </c>
    </row>
    <row r="102" spans="1:9" x14ac:dyDescent="0.35">
      <c r="A102" s="30" t="s">
        <v>173</v>
      </c>
      <c r="B102" s="40">
        <f t="shared" ref="B102:G102" si="4">1-B101</f>
        <v>1</v>
      </c>
      <c r="C102" s="40">
        <f t="shared" si="4"/>
        <v>1</v>
      </c>
      <c r="D102" s="40">
        <f t="shared" si="4"/>
        <v>0.99999032788470843</v>
      </c>
      <c r="E102" s="40">
        <f t="shared" si="4"/>
        <v>1</v>
      </c>
      <c r="F102" s="40">
        <f t="shared" si="4"/>
        <v>0.99970182631382776</v>
      </c>
      <c r="G102" s="40">
        <f t="shared" si="4"/>
        <v>0.9998006407974368</v>
      </c>
      <c r="H102" s="89">
        <f>1-H101</f>
        <v>0.9998006407974368</v>
      </c>
      <c r="I102" s="89">
        <f>1-I101</f>
        <v>0.9998006407974368</v>
      </c>
    </row>
    <row r="103" spans="1:9" x14ac:dyDescent="0.35">
      <c r="A103" s="31" t="s">
        <v>176</v>
      </c>
      <c r="B103" s="81"/>
      <c r="C103" s="81"/>
      <c r="D103" s="81"/>
      <c r="E103" s="81"/>
      <c r="F103" s="81"/>
      <c r="G103" s="81"/>
      <c r="H103" s="42"/>
      <c r="I103" s="42"/>
    </row>
    <row r="104" spans="1:9" x14ac:dyDescent="0.35">
      <c r="A104" s="30" t="s">
        <v>177</v>
      </c>
      <c r="B104" s="40">
        <f>('Non-OECD Europe Eurasia 1995'!$J12+'Non-OECD Europe Eurasia 1995'!$G12+'Non-OECD Europe Eurasia 1995'!$H12)/('Non-OECD Europe Eurasia 1995'!$B12+'Non-OECD Europe Eurasia 1995'!$D12+'Non-OECD Europe Eurasia 1995'!$E12+'Non-OECD Europe Eurasia 1995'!$F12+'Non-OECD Europe Eurasia 1995'!$I12)*-1</f>
        <v>0.30360117787963653</v>
      </c>
      <c r="C104" s="40">
        <f>('Non-OECD Europe Eurasia 2000'!$J12+'Non-OECD Europe Eurasia 2000'!$G12+'Non-OECD Europe Eurasia 2000'!$H12)/('Non-OECD Europe Eurasia 2000'!$B12+'Non-OECD Europe Eurasia 2000'!$D12+'Non-OECD Europe Eurasia 2000'!$E12+'Non-OECD Europe Eurasia 2000'!$F12+'Non-OECD Europe Eurasia 2000'!$I12)*-1</f>
        <v>0.31812539627258196</v>
      </c>
      <c r="D104" s="40">
        <f>('Non-OECD Europe Eurasia 2005'!$J12+'Non-OECD Europe Eurasia 2005'!$G12+'Non-OECD Europe Eurasia 2005'!$H12)/('Non-OECD Europe Eurasia 2005'!$B12+'Non-OECD Europe Eurasia 2005'!$D12+'Non-OECD Europe Eurasia 2005'!$E12+'Non-OECD Europe Eurasia 2005'!$F12+'Non-OECD Europe Eurasia 2005'!$I12)*-1</f>
        <v>0.3202831080036419</v>
      </c>
      <c r="E104" s="40">
        <f>('Non-OECD Europe Eurasia 2010'!$J12+'Non-OECD Europe Eurasia 2010'!$G12+'Non-OECD Europe Eurasia 2010'!$H12)/('Non-OECD Europe Eurasia 2010'!$B12+'Non-OECD Europe Eurasia 2010'!$D12+'Non-OECD Europe Eurasia 2010'!$E12+'Non-OECD Europe Eurasia 2010'!$F12+'Non-OECD Europe Eurasia 2010'!$I12)*-1</f>
        <v>0.32422667391320986</v>
      </c>
      <c r="F104" s="40">
        <f>('Non-OECD Europe Eurasia 2015'!$J12+'Non-OECD Europe Eurasia 2015'!$G12+'Non-OECD Europe Eurasia 2015'!$H12)/('Non-OECD Europe Eurasia 2015'!$B12+'Non-OECD Europe Eurasia 2015'!$D12+'Non-OECD Europe Eurasia 2015'!$E12+'Non-OECD Europe Eurasia 2015'!$F12+'Non-OECD Europe Eurasia 2015'!$I12)*-1</f>
        <v>0.33017790228107835</v>
      </c>
      <c r="G104" s="40">
        <f>('Non-OECD Europe Eurasia 2018'!$J12+'Non-OECD Europe Eurasia 2018'!$G12+'Non-OECD Europe Eurasia 2018'!$H12)/('Non-OECD Europe Eurasia 2018'!$B12+'Non-OECD Europe Eurasia 2018'!$D12+'Non-OECD Europe Eurasia 2018'!$E12+'Non-OECD Europe Eurasia 2018'!$F12+'Non-OECD Europe Eurasia 2018'!$I12)*-1</f>
        <v>0.33382948753321812</v>
      </c>
      <c r="H104" s="77">
        <f t="shared" si="1"/>
        <v>0.33382948753321812</v>
      </c>
      <c r="I104" s="77">
        <f t="shared" si="1"/>
        <v>0.33382948753321812</v>
      </c>
    </row>
    <row r="105" spans="1:9" x14ac:dyDescent="0.35">
      <c r="A105" s="30" t="s">
        <v>163</v>
      </c>
      <c r="B105" s="40">
        <f>('Non-OECD Europe Eurasia 1995'!$J13+'Non-OECD Europe Eurasia 1995'!$K13+'Non-OECD Europe Eurasia 1995'!$H13)/IF(('Non-OECD Europe Eurasia 1995'!$B13+'Non-OECD Europe Eurasia 1995'!$D13+'Non-OECD Europe Eurasia 1995'!$E13+'Non-OECD Europe Eurasia 1995'!$F13+'Non-OECD Europe Eurasia 1995'!$I13)=0,1,('Non-OECD Europe Eurasia 1995'!$B13+'Non-OECD Europe Eurasia 1995'!$D13+'Non-OECD Europe Eurasia 1995'!$E13+'Non-OECD Europe Eurasia 1995'!$F13+'Non-OECD Europe Eurasia 1995'!$I13))*-1</f>
        <v>0.67440305635148046</v>
      </c>
      <c r="C105" s="40">
        <f>('Non-OECD Europe Eurasia 2000'!$J13+'Non-OECD Europe Eurasia 2000'!$K13+'Non-OECD Europe Eurasia 2000'!$H13)/IF(('Non-OECD Europe Eurasia 2000'!$B13+'Non-OECD Europe Eurasia 2000'!$D13+'Non-OECD Europe Eurasia 2000'!$E13+'Non-OECD Europe Eurasia 2000'!$F13+'Non-OECD Europe Eurasia 2000'!$I13)=0,1,('Non-OECD Europe Eurasia 2000'!$B13+'Non-OECD Europe Eurasia 2000'!$D13+'Non-OECD Europe Eurasia 2000'!$E13+'Non-OECD Europe Eurasia 2000'!$F13+'Non-OECD Europe Eurasia 2000'!$I13))*-1</f>
        <v>0.61475707875599572</v>
      </c>
      <c r="D105" s="40">
        <f>('Non-OECD Europe Eurasia 2005'!$J13+'Non-OECD Europe Eurasia 2005'!$K13+'Non-OECD Europe Eurasia 2005'!$H13)/IF(('Non-OECD Europe Eurasia 2005'!$B13+'Non-OECD Europe Eurasia 2005'!$D13+'Non-OECD Europe Eurasia 2005'!$E13+'Non-OECD Europe Eurasia 2005'!$F13+'Non-OECD Europe Eurasia 2005'!$I13)=0,1,('Non-OECD Europe Eurasia 2005'!$B13+'Non-OECD Europe Eurasia 2005'!$D13+'Non-OECD Europe Eurasia 2005'!$E13+'Non-OECD Europe Eurasia 2005'!$F13+'Non-OECD Europe Eurasia 2005'!$I13))*-1</f>
        <v>0.56893791013195705</v>
      </c>
      <c r="E105" s="40">
        <f>('Non-OECD Europe Eurasia 2010'!$J13+'Non-OECD Europe Eurasia 2010'!$K13+'Non-OECD Europe Eurasia 2010'!$H13)/IF(('Non-OECD Europe Eurasia 2010'!$B13+'Non-OECD Europe Eurasia 2010'!$D13+'Non-OECD Europe Eurasia 2010'!$E13+'Non-OECD Europe Eurasia 2010'!$F13+'Non-OECD Europe Eurasia 2010'!$I13)=0,1,('Non-OECD Europe Eurasia 2010'!$B13+'Non-OECD Europe Eurasia 2010'!$D13+'Non-OECD Europe Eurasia 2010'!$E13+'Non-OECD Europe Eurasia 2010'!$F13+'Non-OECD Europe Eurasia 2010'!$I13))*-1</f>
        <v>0.583948846024408</v>
      </c>
      <c r="F105" s="40">
        <f>('Non-OECD Europe Eurasia 2015'!$J13+'Non-OECD Europe Eurasia 2015'!$K13+'Non-OECD Europe Eurasia 2015'!$H13)/IF(('Non-OECD Europe Eurasia 2015'!$B13+'Non-OECD Europe Eurasia 2015'!$D13+'Non-OECD Europe Eurasia 2015'!$E13+'Non-OECD Europe Eurasia 2015'!$F13+'Non-OECD Europe Eurasia 2015'!$I13)=0,1,('Non-OECD Europe Eurasia 2015'!$B13+'Non-OECD Europe Eurasia 2015'!$D13+'Non-OECD Europe Eurasia 2015'!$E13+'Non-OECD Europe Eurasia 2015'!$F13+'Non-OECD Europe Eurasia 2015'!$I13))*-1</f>
        <v>0.57980413933767805</v>
      </c>
      <c r="G105" s="40">
        <f>('Non-OECD Europe Eurasia 2018'!$J13+'Non-OECD Europe Eurasia 2018'!$K13+'Non-OECD Europe Eurasia 2018'!$H13)/IF(('Non-OECD Europe Eurasia 2018'!$B13+'Non-OECD Europe Eurasia 2018'!$D13+'Non-OECD Europe Eurasia 2018'!$E13+'Non-OECD Europe Eurasia 2018'!$F13+'Non-OECD Europe Eurasia 2018'!$I13)=0,1,('Non-OECD Europe Eurasia 2018'!$B13+'Non-OECD Europe Eurasia 2018'!$D13+'Non-OECD Europe Eurasia 2018'!$E13+'Non-OECD Europe Eurasia 2018'!$F13+'Non-OECD Europe Eurasia 2018'!$I13))*-1</f>
        <v>0.61145107371522467</v>
      </c>
      <c r="H105" s="77">
        <f t="shared" si="1"/>
        <v>0.61145107371522467</v>
      </c>
      <c r="I105" s="77">
        <f t="shared" si="1"/>
        <v>0.61145107371522467</v>
      </c>
    </row>
    <row r="106" spans="1:9" x14ac:dyDescent="0.35">
      <c r="A106" s="30" t="s">
        <v>178</v>
      </c>
      <c r="B106" s="40">
        <f>('Non-OECD Europe Eurasia 1995'!$K14+'Non-OECD Europe Eurasia 1995'!$H14)/IF(('Non-OECD Europe Eurasia 1995'!$B14+'Non-OECD Europe Eurasia 1995'!$D14+'Non-OECD Europe Eurasia 1995'!$E14+'Non-OECD Europe Eurasia 1995'!$I14)=0,1,('Non-OECD Europe Eurasia 1995'!$B14+'Non-OECD Europe Eurasia 1995'!$D14+'Non-OECD Europe Eurasia 1995'!$E14+'Non-OECD Europe Eurasia 1995'!$I14))*-1</f>
        <v>0.91167778670485899</v>
      </c>
      <c r="C106" s="40">
        <f>('Non-OECD Europe Eurasia 2000'!$K14+'Non-OECD Europe Eurasia 2000'!$H14)/IF(('Non-OECD Europe Eurasia 2000'!$B14+'Non-OECD Europe Eurasia 2000'!$D14+'Non-OECD Europe Eurasia 2000'!$E14+'Non-OECD Europe Eurasia 2000'!$I14)=0,1,('Non-OECD Europe Eurasia 2000'!$B14+'Non-OECD Europe Eurasia 2000'!$D14+'Non-OECD Europe Eurasia 2000'!$E14+'Non-OECD Europe Eurasia 2000'!$I14))*-1</f>
        <v>0.82700134571831818</v>
      </c>
      <c r="D106" s="40">
        <f>('Non-OECD Europe Eurasia 2005'!$K14+'Non-OECD Europe Eurasia 2005'!$H14)/IF(('Non-OECD Europe Eurasia 2005'!$B14+'Non-OECD Europe Eurasia 2005'!$D14+'Non-OECD Europe Eurasia 2005'!$E14+'Non-OECD Europe Eurasia 2005'!$I14)=0,1,('Non-OECD Europe Eurasia 2005'!$B14+'Non-OECD Europe Eurasia 2005'!$D14+'Non-OECD Europe Eurasia 2005'!$E14+'Non-OECD Europe Eurasia 2005'!$I14))*-1</f>
        <v>0.91233101549539375</v>
      </c>
      <c r="E106" s="40">
        <f>('Non-OECD Europe Eurasia 2010'!$K14+'Non-OECD Europe Eurasia 2010'!$H14)/IF(('Non-OECD Europe Eurasia 2010'!$B14+'Non-OECD Europe Eurasia 2010'!$D14+'Non-OECD Europe Eurasia 2010'!$E14+'Non-OECD Europe Eurasia 2010'!$I14)=0,1,('Non-OECD Europe Eurasia 2010'!$B14+'Non-OECD Europe Eurasia 2010'!$D14+'Non-OECD Europe Eurasia 2010'!$E14+'Non-OECD Europe Eurasia 2010'!$I14))*-1</f>
        <v>0.92160417232153247</v>
      </c>
      <c r="F106" s="40">
        <f>('Non-OECD Europe Eurasia 2015'!$K14+'Non-OECD Europe Eurasia 2015'!$H14)/IF(('Non-OECD Europe Eurasia 2015'!$B14+'Non-OECD Europe Eurasia 2015'!$D14+'Non-OECD Europe Eurasia 2015'!$E14+'Non-OECD Europe Eurasia 2015'!$I14)=0,1,('Non-OECD Europe Eurasia 2015'!$B14+'Non-OECD Europe Eurasia 2015'!$D14+'Non-OECD Europe Eurasia 2015'!$E14+'Non-OECD Europe Eurasia 2015'!$I14))*-1</f>
        <v>0.90537785398917137</v>
      </c>
      <c r="G106" s="40">
        <f>('Non-OECD Europe Eurasia 2018'!$K14+'Non-OECD Europe Eurasia 2018'!$H14)/IF(('Non-OECD Europe Eurasia 2018'!$B14+'Non-OECD Europe Eurasia 2018'!$D14+'Non-OECD Europe Eurasia 2018'!$E14+'Non-OECD Europe Eurasia 2018'!$I14)=0,1,('Non-OECD Europe Eurasia 2018'!$B14+'Non-OECD Europe Eurasia 2018'!$D14+'Non-OECD Europe Eurasia 2018'!$E14+'Non-OECD Europe Eurasia 2018'!$I14))*-1</f>
        <v>0.98009408545863175</v>
      </c>
      <c r="H106" s="77">
        <f t="shared" si="1"/>
        <v>0.98009408545863175</v>
      </c>
      <c r="I106" s="77">
        <f t="shared" si="1"/>
        <v>0.98009408545863175</v>
      </c>
    </row>
    <row r="107" spans="1:9" x14ac:dyDescent="0.35">
      <c r="A107" s="30" t="s">
        <v>170</v>
      </c>
      <c r="B107" s="40">
        <f>'Non-OECD Europe Eurasia 1995'!$D16/IF('Non-OECD Europe Eurasia 1995'!$C16=0,1,'Non-OECD Europe Eurasia 1995'!$C16)*-1</f>
        <v>0.96232638515427249</v>
      </c>
      <c r="C107" s="40">
        <f>'Non-OECD Europe Eurasia 2000'!$D16/IF('Non-OECD Europe Eurasia 2000'!$C16=0,1,'Non-OECD Europe Eurasia 2000'!$C16)*-1</f>
        <v>0.98820509450228278</v>
      </c>
      <c r="D107" s="40">
        <f>'Non-OECD Europe Eurasia 2005'!$D16/IF('Non-OECD Europe Eurasia 2005'!$C16=0,1,'Non-OECD Europe Eurasia 2005'!$C16)*-1</f>
        <v>0.98224404033265611</v>
      </c>
      <c r="E107" s="40">
        <f>'Non-OECD Europe Eurasia 2010'!$D16/IF('Non-OECD Europe Eurasia 2010'!$C16=0,1,'Non-OECD Europe Eurasia 2010'!$C16)*-1</f>
        <v>0.9918175303391642</v>
      </c>
      <c r="F107" s="40">
        <f>'Non-OECD Europe Eurasia 2015'!$D16/IF('Non-OECD Europe Eurasia 2015'!$C16=0,1,'Non-OECD Europe Eurasia 2015'!$C16)*-1</f>
        <v>0.99359281533847699</v>
      </c>
      <c r="G107" s="40">
        <f>'Non-OECD Europe Eurasia 2018'!$D16/IF('Non-OECD Europe Eurasia 2018'!$C16=0,1,'Non-OECD Europe Eurasia 2018'!$C16)*-1</f>
        <v>0.97023800013846506</v>
      </c>
      <c r="H107" s="77">
        <f t="shared" si="1"/>
        <v>0.97023800013846506</v>
      </c>
      <c r="I107" s="77">
        <f t="shared" si="1"/>
        <v>0.97023800013846506</v>
      </c>
    </row>
    <row r="108" spans="1:9" x14ac:dyDescent="0.35">
      <c r="A108" s="32" t="s">
        <v>179</v>
      </c>
      <c r="B108" s="82"/>
      <c r="C108" s="82"/>
      <c r="D108" s="82"/>
      <c r="E108" s="82"/>
      <c r="F108" s="82"/>
      <c r="G108" s="82"/>
      <c r="H108" s="42"/>
      <c r="I108" s="42"/>
    </row>
    <row r="109" spans="1:9" x14ac:dyDescent="0.35">
      <c r="A109" s="30" t="s">
        <v>141</v>
      </c>
      <c r="B109" s="40">
        <f>'Non-OECD Europe Eurasia 1995'!$B12/('Non-OECD Europe Eurasia 1995'!$L12-'Non-OECD Europe Eurasia 1995'!$J12-'Non-OECD Europe Eurasia 1995'!$G12-'Non-OECD Europe Eurasia 1995'!$H12)</f>
        <v>0.35231611555363446</v>
      </c>
      <c r="C109" s="40">
        <f>'Non-OECD Europe Eurasia 2000'!$B12/('Non-OECD Europe Eurasia 2000'!$L12-'Non-OECD Europe Eurasia 2000'!$J12-'Non-OECD Europe Eurasia 2000'!$G12-'Non-OECD Europe Eurasia 2000'!$H12)</f>
        <v>0.28936770575681542</v>
      </c>
      <c r="D109" s="40">
        <f>'Non-OECD Europe Eurasia 2005'!$B12/('Non-OECD Europe Eurasia 2005'!$L12-'Non-OECD Europe Eurasia 2005'!$J12-'Non-OECD Europe Eurasia 2005'!$G12-'Non-OECD Europe Eurasia 2005'!$H12)</f>
        <v>0.24966729915601307</v>
      </c>
      <c r="E109" s="40">
        <f>'Non-OECD Europe Eurasia 2010'!$B12/('Non-OECD Europe Eurasia 2010'!$L12-'Non-OECD Europe Eurasia 2010'!$J12-'Non-OECD Europe Eurasia 2010'!$G12-'Non-OECD Europe Eurasia 2010'!$H12)</f>
        <v>0.27398749244111725</v>
      </c>
      <c r="F109" s="40">
        <f>'Non-OECD Europe Eurasia 2015'!$B12/('Non-OECD Europe Eurasia 2015'!$L12-'Non-OECD Europe Eurasia 2015'!$J12-'Non-OECD Europe Eurasia 2015'!$G12-'Non-OECD Europe Eurasia 2015'!$H12)</f>
        <v>0.23856130790190735</v>
      </c>
      <c r="G109" s="40">
        <f>'Non-OECD Europe Eurasia 2018'!$B12/('Non-OECD Europe Eurasia 2018'!$L12-'Non-OECD Europe Eurasia 2018'!$J12-'Non-OECD Europe Eurasia 2018'!$G12-'Non-OECD Europe Eurasia 2018'!$H12)</f>
        <v>0.22025489072485002</v>
      </c>
      <c r="H109" s="89">
        <f>1-H110-H111-H112-H113-H114</f>
        <v>0.22124863088718508</v>
      </c>
      <c r="I109" s="89">
        <f>1-I110-I111-I112-I113-I114</f>
        <v>0.22124863088718508</v>
      </c>
    </row>
    <row r="110" spans="1:9" x14ac:dyDescent="0.35">
      <c r="A110" s="30" t="s">
        <v>142</v>
      </c>
      <c r="B110" s="40">
        <f>'Non-OECD Europe Eurasia 1995'!$C12/('Non-OECD Europe Eurasia 1995'!$L12-'Non-OECD Europe Eurasia 1995'!$J12-'Non-OECD Europe Eurasia 1995'!$G12-'Non-OECD Europe Eurasia 1995'!$H12)</f>
        <v>0</v>
      </c>
      <c r="C110" s="40">
        <f>'Non-OECD Europe Eurasia 2000'!$C12/('Non-OECD Europe Eurasia 2000'!$L12-'Non-OECD Europe Eurasia 2000'!$J12-'Non-OECD Europe Eurasia 2000'!$G12-'Non-OECD Europe Eurasia 2000'!$H12)</f>
        <v>6.2506138995794232E-5</v>
      </c>
      <c r="D110" s="40">
        <f>'Non-OECD Europe Eurasia 2005'!$C12/('Non-OECD Europe Eurasia 2005'!$L12-'Non-OECD Europe Eurasia 2005'!$J12-'Non-OECD Europe Eurasia 2005'!$G12-'Non-OECD Europe Eurasia 2005'!$H12)</f>
        <v>4.2070558336409922E-4</v>
      </c>
      <c r="E110" s="40">
        <f>'Non-OECD Europe Eurasia 2010'!$C12/('Non-OECD Europe Eurasia 2010'!$L12-'Non-OECD Europe Eurasia 2010'!$J12-'Non-OECD Europe Eurasia 2010'!$G12-'Non-OECD Europe Eurasia 2010'!$H12)</f>
        <v>0</v>
      </c>
      <c r="F110" s="40">
        <f>'Non-OECD Europe Eurasia 2015'!$C12/('Non-OECD Europe Eurasia 2015'!$L12-'Non-OECD Europe Eurasia 2015'!$J12-'Non-OECD Europe Eurasia 2015'!$G12-'Non-OECD Europe Eurasia 2015'!$H12)</f>
        <v>0</v>
      </c>
      <c r="G110" s="40">
        <f>'Non-OECD Europe Eurasia 2018'!$C12/('Non-OECD Europe Eurasia 2018'!$L12-'Non-OECD Europe Eurasia 2018'!$J12-'Non-OECD Europe Eurasia 2018'!$G12-'Non-OECD Europe Eurasia 2018'!$H12)</f>
        <v>0</v>
      </c>
      <c r="H110" s="77">
        <f t="shared" si="1"/>
        <v>0</v>
      </c>
      <c r="I110" s="77">
        <f t="shared" si="1"/>
        <v>0</v>
      </c>
    </row>
    <row r="111" spans="1:9" x14ac:dyDescent="0.35">
      <c r="A111" s="30" t="s">
        <v>143</v>
      </c>
      <c r="B111" s="40">
        <f>'Non-OECD Europe Eurasia 1995'!$D12/('Non-OECD Europe Eurasia 1995'!$L12-'Non-OECD Europe Eurasia 1995'!$J12-'Non-OECD Europe Eurasia 1995'!$G12-'Non-OECD Europe Eurasia 1995'!$H12)</f>
        <v>6.6556804264822425E-2</v>
      </c>
      <c r="C111" s="40">
        <f>'Non-OECD Europe Eurasia 2000'!$D12/('Non-OECD Europe Eurasia 2000'!$L12-'Non-OECD Europe Eurasia 2000'!$J12-'Non-OECD Europe Eurasia 2000'!$G12-'Non-OECD Europe Eurasia 2000'!$H12)</f>
        <v>3.6700033038959183E-2</v>
      </c>
      <c r="D111" s="40">
        <f>'Non-OECD Europe Eurasia 2005'!$D12/('Non-OECD Europe Eurasia 2005'!$L12-'Non-OECD Europe Eurasia 2005'!$J12-'Non-OECD Europe Eurasia 2005'!$G12-'Non-OECD Europe Eurasia 2005'!$H12)</f>
        <v>2.8968584454499402E-2</v>
      </c>
      <c r="E111" s="40">
        <f>'Non-OECD Europe Eurasia 2010'!$D12/('Non-OECD Europe Eurasia 2010'!$L12-'Non-OECD Europe Eurasia 2010'!$J12-'Non-OECD Europe Eurasia 2010'!$G12-'Non-OECD Europe Eurasia 2010'!$H12)</f>
        <v>2.2879494186358033E-2</v>
      </c>
      <c r="F111" s="40">
        <f>'Non-OECD Europe Eurasia 2015'!$D12/('Non-OECD Europe Eurasia 2015'!$L12-'Non-OECD Europe Eurasia 2015'!$J12-'Non-OECD Europe Eurasia 2015'!$G12-'Non-OECD Europe Eurasia 2015'!$H12)</f>
        <v>1.6966394187102635E-2</v>
      </c>
      <c r="G111" s="40">
        <f>'Non-OECD Europe Eurasia 2018'!$D12/('Non-OECD Europe Eurasia 2018'!$L12-'Non-OECD Europe Eurasia 2018'!$J12-'Non-OECD Europe Eurasia 2018'!$G12-'Non-OECD Europe Eurasia 2018'!$H12)</f>
        <v>1.7546404764149919E-2</v>
      </c>
      <c r="H111" s="77">
        <f t="shared" si="1"/>
        <v>1.7546404764149919E-2</v>
      </c>
      <c r="I111" s="77">
        <f t="shared" si="1"/>
        <v>1.7546404764149919E-2</v>
      </c>
    </row>
    <row r="112" spans="1:9" x14ac:dyDescent="0.35">
      <c r="A112" s="30" t="s">
        <v>241</v>
      </c>
      <c r="B112" s="40">
        <f>'Non-OECD Europe Eurasia 1995'!$E12/('Non-OECD Europe Eurasia 1995'!$L12-'Non-OECD Europe Eurasia 1995'!$J12-'Non-OECD Europe Eurasia 1995'!$G12-'Non-OECD Europe Eurasia 1995'!$H12)</f>
        <v>0.14089402780779484</v>
      </c>
      <c r="C112" s="40">
        <f>'Non-OECD Europe Eurasia 2000'!$E12/('Non-OECD Europe Eurasia 2000'!$L12-'Non-OECD Europe Eurasia 2000'!$J12-'Non-OECD Europe Eurasia 2000'!$G12-'Non-OECD Europe Eurasia 2000'!$H12)</f>
        <v>0.13013778138924359</v>
      </c>
      <c r="D112" s="40">
        <f>'Non-OECD Europe Eurasia 2005'!$E12/('Non-OECD Europe Eurasia 2005'!$L12-'Non-OECD Europe Eurasia 2005'!$J12-'Non-OECD Europe Eurasia 2005'!$G12-'Non-OECD Europe Eurasia 2005'!$H12)</f>
        <v>0.12779146740390313</v>
      </c>
      <c r="E112" s="40">
        <f>'Non-OECD Europe Eurasia 2010'!$E12/('Non-OECD Europe Eurasia 2010'!$L12-'Non-OECD Europe Eurasia 2010'!$J12-'Non-OECD Europe Eurasia 2010'!$G12-'Non-OECD Europe Eurasia 2010'!$H12)</f>
        <v>0.12737195826731271</v>
      </c>
      <c r="F112" s="40">
        <f>'Non-OECD Europe Eurasia 2015'!$E12/('Non-OECD Europe Eurasia 2015'!$L12-'Non-OECD Europe Eurasia 2015'!$J12-'Non-OECD Europe Eurasia 2015'!$G12-'Non-OECD Europe Eurasia 2015'!$H12)</f>
        <v>0.15035785649409628</v>
      </c>
      <c r="G112" s="40">
        <f>'Non-OECD Europe Eurasia 2018'!$E12/('Non-OECD Europe Eurasia 2018'!$L12-'Non-OECD Europe Eurasia 2018'!$J12-'Non-OECD Europe Eurasia 2018'!$G12-'Non-OECD Europe Eurasia 2018'!$H12)</f>
        <v>0.15681509904760524</v>
      </c>
      <c r="H112" s="77">
        <f t="shared" si="1"/>
        <v>0.15681509904760524</v>
      </c>
      <c r="I112" s="77">
        <f t="shared" si="1"/>
        <v>0.15681509904760524</v>
      </c>
    </row>
    <row r="113" spans="1:11" x14ac:dyDescent="0.35">
      <c r="A113" s="30" t="s">
        <v>180</v>
      </c>
      <c r="B113" s="40">
        <f>'Non-OECD Europe Eurasia 1995'!$F12/('Non-OECD Europe Eurasia 1995'!$L12-'Non-OECD Europe Eurasia 1995'!$J12-'Non-OECD Europe Eurasia 1995'!$G12-'Non-OECD Europe Eurasia 1995'!$H12)</f>
        <v>0.44022404725884301</v>
      </c>
      <c r="C113" s="40">
        <f>'Non-OECD Europe Eurasia 2000'!$F12/('Non-OECD Europe Eurasia 2000'!$L12-'Non-OECD Europe Eurasia 2000'!$J12-'Non-OECD Europe Eurasia 2000'!$G12-'Non-OECD Europe Eurasia 2000'!$H12)</f>
        <v>0.54372304422755802</v>
      </c>
      <c r="D113" s="40">
        <f>'Non-OECD Europe Eurasia 2005'!$F12/('Non-OECD Europe Eurasia 2005'!$L12-'Non-OECD Europe Eurasia 2005'!$J12-'Non-OECD Europe Eurasia 2005'!$G12-'Non-OECD Europe Eurasia 2005'!$H12)</f>
        <v>0.5931176000892926</v>
      </c>
      <c r="E113" s="40">
        <f>'Non-OECD Europe Eurasia 2010'!$F12/('Non-OECD Europe Eurasia 2010'!$L12-'Non-OECD Europe Eurasia 2010'!$J12-'Non-OECD Europe Eurasia 2010'!$G12-'Non-OECD Europe Eurasia 2010'!$H12)</f>
        <v>0.57536301773562659</v>
      </c>
      <c r="F113" s="40">
        <f>'Non-OECD Europe Eurasia 2015'!$F12/('Non-OECD Europe Eurasia 2015'!$L12-'Non-OECD Europe Eurasia 2015'!$J12-'Non-OECD Europe Eurasia 2015'!$G12-'Non-OECD Europe Eurasia 2015'!$H12)</f>
        <v>0.5917238873751135</v>
      </c>
      <c r="G113" s="40">
        <f>'Non-OECD Europe Eurasia 2018'!$F12/('Non-OECD Europe Eurasia 2018'!$L12-'Non-OECD Europe Eurasia 2018'!$J12-'Non-OECD Europe Eurasia 2018'!$G12-'Non-OECD Europe Eurasia 2018'!$H12)</f>
        <v>0.60180759159455399</v>
      </c>
      <c r="H113" s="77">
        <f t="shared" si="1"/>
        <v>0.60180759159455399</v>
      </c>
      <c r="I113" s="77">
        <f t="shared" si="1"/>
        <v>0.60180759159455399</v>
      </c>
    </row>
    <row r="114" spans="1:11" x14ac:dyDescent="0.35">
      <c r="A114" s="30" t="s">
        <v>146</v>
      </c>
      <c r="B114" s="40">
        <f>'Non-OECD Europe Eurasia 1995'!$I12/('Non-OECD Europe Eurasia 1995'!$L12-'Non-OECD Europe Eurasia 1995'!$J12-'Non-OECD Europe Eurasia 1995'!$G12-'Non-OECD Europe Eurasia 1995'!$H12)</f>
        <v>0</v>
      </c>
      <c r="C114" s="40">
        <f>'Non-OECD Europe Eurasia 2000'!$I12/('Non-OECD Europe Eurasia 2000'!$L12-'Non-OECD Europe Eurasia 2000'!$J12-'Non-OECD Europe Eurasia 2000'!$G12-'Non-OECD Europe Eurasia 2000'!$H12)</f>
        <v>0</v>
      </c>
      <c r="D114" s="40">
        <f>'Non-OECD Europe Eurasia 2005'!$I12/('Non-OECD Europe Eurasia 2005'!$L12-'Non-OECD Europe Eurasia 2005'!$J12-'Non-OECD Europe Eurasia 2005'!$G12-'Non-OECD Europe Eurasia 2005'!$H12)</f>
        <v>3.434331292768157E-5</v>
      </c>
      <c r="E114" s="40">
        <f>'Non-OECD Europe Eurasia 2010'!$I12/('Non-OECD Europe Eurasia 2010'!$L12-'Non-OECD Europe Eurasia 2010'!$J12-'Non-OECD Europe Eurasia 2010'!$G12-'Non-OECD Europe Eurasia 2010'!$H12)</f>
        <v>3.67419110386479E-4</v>
      </c>
      <c r="F114" s="40">
        <f>'Non-OECD Europe Eurasia 2015'!$I12/('Non-OECD Europe Eurasia 2015'!$L12-'Non-OECD Europe Eurasia 2015'!$J12-'Non-OECD Europe Eurasia 2015'!$G12-'Non-OECD Europe Eurasia 2015'!$H12)</f>
        <v>1.0099909173478655E-3</v>
      </c>
      <c r="G114" s="40">
        <f>'Non-OECD Europe Eurasia 2018'!$I12/('Non-OECD Europe Eurasia 2018'!$L12-'Non-OECD Europe Eurasia 2018'!$J12-'Non-OECD Europe Eurasia 2018'!$G12-'Non-OECD Europe Eurasia 2018'!$H12)</f>
        <v>2.5822737065057341E-3</v>
      </c>
      <c r="H114" s="77">
        <f t="shared" si="1"/>
        <v>2.5822737065057341E-3</v>
      </c>
      <c r="I114" s="77">
        <f t="shared" si="1"/>
        <v>2.5822737065057341E-3</v>
      </c>
    </row>
    <row r="115" spans="1:11" x14ac:dyDescent="0.35">
      <c r="A115" s="32" t="s">
        <v>181</v>
      </c>
      <c r="B115" s="82"/>
      <c r="C115" s="82"/>
      <c r="D115" s="82"/>
      <c r="E115" s="82"/>
      <c r="F115" s="82"/>
      <c r="G115" s="82"/>
      <c r="H115" s="42"/>
      <c r="I115" s="42"/>
    </row>
    <row r="116" spans="1:11" x14ac:dyDescent="0.35">
      <c r="A116" s="30" t="s">
        <v>141</v>
      </c>
      <c r="B116" s="40">
        <f>'Non-OECD Europe Eurasia 1995'!$B13/IF(('Non-OECD Europe Eurasia 1995'!$L13-'Non-OECD Europe Eurasia 1995'!$J13-'Non-OECD Europe Eurasia 1995'!$K13-'Non-OECD Europe Eurasia 1995'!$G13-'Non-OECD Europe Eurasia 1995'!$H13)=0,1,('Non-OECD Europe Eurasia 1995'!$L13-'Non-OECD Europe Eurasia 1995'!$J13-'Non-OECD Europe Eurasia 1995'!$K13-'Non-OECD Europe Eurasia 1995'!$G13-'Non-OECD Europe Eurasia 1995'!$H13))</f>
        <v>0.30435452454578471</v>
      </c>
      <c r="C116" s="40">
        <f>'Non-OECD Europe Eurasia 2000'!$B13/IF(('Non-OECD Europe Eurasia 2000'!$L13-'Non-OECD Europe Eurasia 2000'!$J13-'Non-OECD Europe Eurasia 2000'!$K13-'Non-OECD Europe Eurasia 2000'!$G13-'Non-OECD Europe Eurasia 2000'!$H13)=0,1,('Non-OECD Europe Eurasia 2000'!$L13-'Non-OECD Europe Eurasia 2000'!$J13-'Non-OECD Europe Eurasia 2000'!$K13-'Non-OECD Europe Eurasia 2000'!$G13-'Non-OECD Europe Eurasia 2000'!$H13))</f>
        <v>0.3223866629026208</v>
      </c>
      <c r="D116" s="40">
        <f>'Non-OECD Europe Eurasia 2005'!$B13/IF(('Non-OECD Europe Eurasia 2005'!$L13-'Non-OECD Europe Eurasia 2005'!$J13-'Non-OECD Europe Eurasia 2005'!$K13-'Non-OECD Europe Eurasia 2005'!$G13-'Non-OECD Europe Eurasia 2005'!$H13)=0,1,('Non-OECD Europe Eurasia 2005'!$L13-'Non-OECD Europe Eurasia 2005'!$J13-'Non-OECD Europe Eurasia 2005'!$K13-'Non-OECD Europe Eurasia 2005'!$G13-'Non-OECD Europe Eurasia 2005'!$H13))</f>
        <v>0.32030579859324071</v>
      </c>
      <c r="E116" s="40">
        <f>'Non-OECD Europe Eurasia 2010'!$B13/IF(('Non-OECD Europe Eurasia 2010'!$L13-'Non-OECD Europe Eurasia 2010'!$J13-'Non-OECD Europe Eurasia 2010'!$K13-'Non-OECD Europe Eurasia 2010'!$G13-'Non-OECD Europe Eurasia 2010'!$H13)=0,1,('Non-OECD Europe Eurasia 2010'!$L13-'Non-OECD Europe Eurasia 2010'!$J13-'Non-OECD Europe Eurasia 2010'!$K13-'Non-OECD Europe Eurasia 2010'!$G13-'Non-OECD Europe Eurasia 2010'!$H13))</f>
        <v>0.30225720520304927</v>
      </c>
      <c r="F116" s="40">
        <f>'Non-OECD Europe Eurasia 2015'!$B13/IF(('Non-OECD Europe Eurasia 2015'!$L13-'Non-OECD Europe Eurasia 2015'!$J13-'Non-OECD Europe Eurasia 2015'!$K13-'Non-OECD Europe Eurasia 2015'!$G13-'Non-OECD Europe Eurasia 2015'!$H13)=0,1,('Non-OECD Europe Eurasia 2015'!$L13-'Non-OECD Europe Eurasia 2015'!$J13-'Non-OECD Europe Eurasia 2015'!$K13-'Non-OECD Europe Eurasia 2015'!$G13-'Non-OECD Europe Eurasia 2015'!$H13))</f>
        <v>0.29621454739761049</v>
      </c>
      <c r="G116" s="40">
        <f>'Non-OECD Europe Eurasia 2018'!$B13/IF(('Non-OECD Europe Eurasia 2018'!$L13-'Non-OECD Europe Eurasia 2018'!$J13-'Non-OECD Europe Eurasia 2018'!$K13-'Non-OECD Europe Eurasia 2018'!$G13-'Non-OECD Europe Eurasia 2018'!$H13)=0,1,('Non-OECD Europe Eurasia 2018'!$L13-'Non-OECD Europe Eurasia 2018'!$J13-'Non-OECD Europe Eurasia 2018'!$K13-'Non-OECD Europe Eurasia 2018'!$G13-'Non-OECD Europe Eurasia 2018'!$H13))</f>
        <v>0.29993095023105115</v>
      </c>
      <c r="H116" s="89">
        <f>1-H117-H118-H119-H120-H121</f>
        <v>0.29993095023105115</v>
      </c>
      <c r="I116" s="89">
        <f>1-I117-I118-I119-I120-I121</f>
        <v>0.29993095023105115</v>
      </c>
    </row>
    <row r="117" spans="1:11" x14ac:dyDescent="0.35">
      <c r="A117" s="30" t="s">
        <v>142</v>
      </c>
      <c r="B117" s="40">
        <f>'Non-OECD Europe Eurasia 1995'!$C13/IF(('Non-OECD Europe Eurasia 1995'!$L13-'Non-OECD Europe Eurasia 1995'!$J13-'Non-OECD Europe Eurasia 1995'!$K13-'Non-OECD Europe Eurasia 1995'!$G13-'Non-OECD Europe Eurasia 1995'!$H13)=0,1,('Non-OECD Europe Eurasia 1995'!$L13-'Non-OECD Europe Eurasia 1995'!$J13-'Non-OECD Europe Eurasia 1995'!$K13-'Non-OECD Europe Eurasia 1995'!$G13-'Non-OECD Europe Eurasia 1995'!$H13))</f>
        <v>1.437935828445452E-3</v>
      </c>
      <c r="C117" s="40">
        <f>'Non-OECD Europe Eurasia 2000'!$C13/IF(('Non-OECD Europe Eurasia 2000'!$L13-'Non-OECD Europe Eurasia 2000'!$J13-'Non-OECD Europe Eurasia 2000'!$K13-'Non-OECD Europe Eurasia 2000'!$G13-'Non-OECD Europe Eurasia 2000'!$H13)=0,1,('Non-OECD Europe Eurasia 2000'!$L13-'Non-OECD Europe Eurasia 2000'!$J13-'Non-OECD Europe Eurasia 2000'!$K13-'Non-OECD Europe Eurasia 2000'!$G13-'Non-OECD Europe Eurasia 2000'!$H13))</f>
        <v>2.5910041881455759E-4</v>
      </c>
      <c r="D117" s="40">
        <f>'Non-OECD Europe Eurasia 2005'!$C13/IF(('Non-OECD Europe Eurasia 2005'!$L13-'Non-OECD Europe Eurasia 2005'!$J13-'Non-OECD Europe Eurasia 2005'!$K13-'Non-OECD Europe Eurasia 2005'!$G13-'Non-OECD Europe Eurasia 2005'!$H13)=0,1,('Non-OECD Europe Eurasia 2005'!$L13-'Non-OECD Europe Eurasia 2005'!$J13-'Non-OECD Europe Eurasia 2005'!$K13-'Non-OECD Europe Eurasia 2005'!$G13-'Non-OECD Europe Eurasia 2005'!$H13))</f>
        <v>1.4296334419854749E-5</v>
      </c>
      <c r="E117" s="40">
        <f>'Non-OECD Europe Eurasia 2010'!$C13/IF(('Non-OECD Europe Eurasia 2010'!$L13-'Non-OECD Europe Eurasia 2010'!$J13-'Non-OECD Europe Eurasia 2010'!$K13-'Non-OECD Europe Eurasia 2010'!$G13-'Non-OECD Europe Eurasia 2010'!$H13)=0,1,('Non-OECD Europe Eurasia 2010'!$L13-'Non-OECD Europe Eurasia 2010'!$J13-'Non-OECD Europe Eurasia 2010'!$K13-'Non-OECD Europe Eurasia 2010'!$G13-'Non-OECD Europe Eurasia 2010'!$H13))</f>
        <v>3.8966191515288917E-5</v>
      </c>
      <c r="F117" s="40">
        <f>'Non-OECD Europe Eurasia 2015'!$C13/IF(('Non-OECD Europe Eurasia 2015'!$L13-'Non-OECD Europe Eurasia 2015'!$J13-'Non-OECD Europe Eurasia 2015'!$K13-'Non-OECD Europe Eurasia 2015'!$G13-'Non-OECD Europe Eurasia 2015'!$H13)=0,1,('Non-OECD Europe Eurasia 2015'!$L13-'Non-OECD Europe Eurasia 2015'!$J13-'Non-OECD Europe Eurasia 2015'!$K13-'Non-OECD Europe Eurasia 2015'!$G13-'Non-OECD Europe Eurasia 2015'!$H13))</f>
        <v>2.4447059891804296E-5</v>
      </c>
      <c r="G117" s="40">
        <f>'Non-OECD Europe Eurasia 2018'!$C13/IF(('Non-OECD Europe Eurasia 2018'!$L13-'Non-OECD Europe Eurasia 2018'!$J13-'Non-OECD Europe Eurasia 2018'!$K13-'Non-OECD Europe Eurasia 2018'!$G13-'Non-OECD Europe Eurasia 2018'!$H13)=0,1,('Non-OECD Europe Eurasia 2018'!$L13-'Non-OECD Europe Eurasia 2018'!$J13-'Non-OECD Europe Eurasia 2018'!$K13-'Non-OECD Europe Eurasia 2018'!$G13-'Non-OECD Europe Eurasia 2018'!$H13))</f>
        <v>7.4361289637223143E-5</v>
      </c>
      <c r="H117" s="77">
        <f t="shared" si="1"/>
        <v>7.4361289637223143E-5</v>
      </c>
      <c r="I117" s="77">
        <f t="shared" si="1"/>
        <v>7.4361289637223143E-5</v>
      </c>
    </row>
    <row r="118" spans="1:11" x14ac:dyDescent="0.35">
      <c r="A118" s="30" t="s">
        <v>143</v>
      </c>
      <c r="B118" s="40">
        <f>'Non-OECD Europe Eurasia 1995'!$D13/IF('Non-OECD Europe Eurasia 1995'!$L13-'Non-OECD Europe Eurasia 1995'!$J13-'Non-OECD Europe Eurasia 1995'!$K13-'Non-OECD Europe Eurasia 1995'!$G13-'Non-OECD Europe Eurasia 1995'!$H13=0,1,('Non-OECD Europe Eurasia 1995'!$L13-'Non-OECD Europe Eurasia 1995'!$J13-'Non-OECD Europe Eurasia 1995'!$K13-'Non-OECD Europe Eurasia 1995'!$G13-'Non-OECD Europe Eurasia 1995'!$H13))</f>
        <v>0.10780116868968098</v>
      </c>
      <c r="C118" s="40">
        <f>'Non-OECD Europe Eurasia 2000'!$D13/IF('Non-OECD Europe Eurasia 2000'!$L13-'Non-OECD Europe Eurasia 2000'!$J13-'Non-OECD Europe Eurasia 2000'!$K13-'Non-OECD Europe Eurasia 2000'!$G13-'Non-OECD Europe Eurasia 2000'!$H13=0,1,('Non-OECD Europe Eurasia 2000'!$L13-'Non-OECD Europe Eurasia 2000'!$J13-'Non-OECD Europe Eurasia 2000'!$K13-'Non-OECD Europe Eurasia 2000'!$G13-'Non-OECD Europe Eurasia 2000'!$H13))</f>
        <v>7.2261946656251089E-2</v>
      </c>
      <c r="D118" s="40">
        <f>'Non-OECD Europe Eurasia 2005'!$D13/IF('Non-OECD Europe Eurasia 2005'!$L13-'Non-OECD Europe Eurasia 2005'!$J13-'Non-OECD Europe Eurasia 2005'!$K13-'Non-OECD Europe Eurasia 2005'!$G13-'Non-OECD Europe Eurasia 2005'!$H13=0,1,('Non-OECD Europe Eurasia 2005'!$L13-'Non-OECD Europe Eurasia 2005'!$J13-'Non-OECD Europe Eurasia 2005'!$K13-'Non-OECD Europe Eurasia 2005'!$G13-'Non-OECD Europe Eurasia 2005'!$H13))</f>
        <v>4.2199205123806253E-2</v>
      </c>
      <c r="E118" s="40">
        <f>'Non-OECD Europe Eurasia 2010'!$D13/IF('Non-OECD Europe Eurasia 2010'!$L13-'Non-OECD Europe Eurasia 2010'!$J13-'Non-OECD Europe Eurasia 2010'!$K13-'Non-OECD Europe Eurasia 2010'!$G13-'Non-OECD Europe Eurasia 2010'!$H13=0,1,('Non-OECD Europe Eurasia 2010'!$L13-'Non-OECD Europe Eurasia 2010'!$J13-'Non-OECD Europe Eurasia 2010'!$K13-'Non-OECD Europe Eurasia 2010'!$G13-'Non-OECD Europe Eurasia 2010'!$H13))</f>
        <v>1.5582934225068722E-2</v>
      </c>
      <c r="F118" s="40">
        <f>'Non-OECD Europe Eurasia 2015'!$D13/IF('Non-OECD Europe Eurasia 2015'!$L13-'Non-OECD Europe Eurasia 2015'!$J13-'Non-OECD Europe Eurasia 2015'!$K13-'Non-OECD Europe Eurasia 2015'!$G13-'Non-OECD Europe Eurasia 2015'!$H13=0,1,('Non-OECD Europe Eurasia 2015'!$L13-'Non-OECD Europe Eurasia 2015'!$J13-'Non-OECD Europe Eurasia 2015'!$K13-'Non-OECD Europe Eurasia 2015'!$G13-'Non-OECD Europe Eurasia 2015'!$H13))</f>
        <v>1.5614686396608145E-2</v>
      </c>
      <c r="G118" s="40">
        <f>'Non-OECD Europe Eurasia 2018'!$D13/IF('Non-OECD Europe Eurasia 2018'!$L13-'Non-OECD Europe Eurasia 2018'!$J13-'Non-OECD Europe Eurasia 2018'!$K13-'Non-OECD Europe Eurasia 2018'!$G13-'Non-OECD Europe Eurasia 2018'!$H13=0,1,('Non-OECD Europe Eurasia 2018'!$L13-'Non-OECD Europe Eurasia 2018'!$J13-'Non-OECD Europe Eurasia 2018'!$K13-'Non-OECD Europe Eurasia 2018'!$G13-'Non-OECD Europe Eurasia 2018'!$H13))</f>
        <v>1.1154193445583471E-2</v>
      </c>
      <c r="H118" s="77">
        <f t="shared" si="1"/>
        <v>1.1154193445583471E-2</v>
      </c>
      <c r="I118" s="77">
        <f t="shared" si="1"/>
        <v>1.1154193445583471E-2</v>
      </c>
    </row>
    <row r="119" spans="1:11" x14ac:dyDescent="0.35">
      <c r="A119" s="30" t="s">
        <v>241</v>
      </c>
      <c r="B119" s="40">
        <f>'Non-OECD Europe Eurasia 1995'!$E13/IF(('Non-OECD Europe Eurasia 1995'!$L13-'Non-OECD Europe Eurasia 1995'!$J13-'Non-OECD Europe Eurasia 1995'!$K13-'Non-OECD Europe Eurasia 1995'!$G13-'Non-OECD Europe Eurasia 1995'!$H13)=0,1,('Non-OECD Europe Eurasia 1995'!$L13-'Non-OECD Europe Eurasia 1995'!$J13-'Non-OECD Europe Eurasia 1995'!$K13-'Non-OECD Europe Eurasia 1995'!$G13-'Non-OECD Europe Eurasia 1995'!$H13))</f>
        <v>0.58013741090850401</v>
      </c>
      <c r="C119" s="40">
        <f>'Non-OECD Europe Eurasia 2000'!$E13/IF(('Non-OECD Europe Eurasia 2000'!$L13-'Non-OECD Europe Eurasia 2000'!$J13-'Non-OECD Europe Eurasia 2000'!$K13-'Non-OECD Europe Eurasia 2000'!$G13-'Non-OECD Europe Eurasia 2000'!$H13)=0,1,('Non-OECD Europe Eurasia 2000'!$L13-'Non-OECD Europe Eurasia 2000'!$J13-'Non-OECD Europe Eurasia 2000'!$K13-'Non-OECD Europe Eurasia 2000'!$G13-'Non-OECD Europe Eurasia 2000'!$H13))</f>
        <v>0.59734634765088734</v>
      </c>
      <c r="D119" s="40">
        <f>'Non-OECD Europe Eurasia 2005'!$E13/IF(('Non-OECD Europe Eurasia 2005'!$L13-'Non-OECD Europe Eurasia 2005'!$J13-'Non-OECD Europe Eurasia 2005'!$K13-'Non-OECD Europe Eurasia 2005'!$G13-'Non-OECD Europe Eurasia 2005'!$H13)=0,1,('Non-OECD Europe Eurasia 2005'!$L13-'Non-OECD Europe Eurasia 2005'!$J13-'Non-OECD Europe Eurasia 2005'!$K13-'Non-OECD Europe Eurasia 2005'!$G13-'Non-OECD Europe Eurasia 2005'!$H13))</f>
        <v>0.63013238405672789</v>
      </c>
      <c r="E119" s="40">
        <f>'Non-OECD Europe Eurasia 2010'!$E13/IF(('Non-OECD Europe Eurasia 2010'!$L13-'Non-OECD Europe Eurasia 2010'!$J13-'Non-OECD Europe Eurasia 2010'!$K13-'Non-OECD Europe Eurasia 2010'!$G13-'Non-OECD Europe Eurasia 2010'!$H13)=0,1,('Non-OECD Europe Eurasia 2010'!$L13-'Non-OECD Europe Eurasia 2010'!$J13-'Non-OECD Europe Eurasia 2010'!$K13-'Non-OECD Europe Eurasia 2010'!$G13-'Non-OECD Europe Eurasia 2010'!$H13))</f>
        <v>0.67190820982231414</v>
      </c>
      <c r="F119" s="40">
        <f>'Non-OECD Europe Eurasia 2015'!$E13/IF(('Non-OECD Europe Eurasia 2015'!$L13-'Non-OECD Europe Eurasia 2015'!$J13-'Non-OECD Europe Eurasia 2015'!$K13-'Non-OECD Europe Eurasia 2015'!$G13-'Non-OECD Europe Eurasia 2015'!$H13)=0,1,('Non-OECD Europe Eurasia 2015'!$L13-'Non-OECD Europe Eurasia 2015'!$J13-'Non-OECD Europe Eurasia 2015'!$K13-'Non-OECD Europe Eurasia 2015'!$G13-'Non-OECD Europe Eurasia 2015'!$H13))</f>
        <v>0.6760170850024273</v>
      </c>
      <c r="G119" s="40">
        <f>'Non-OECD Europe Eurasia 2018'!$E13/IF(('Non-OECD Europe Eurasia 2018'!$L13-'Non-OECD Europe Eurasia 2018'!$J13-'Non-OECD Europe Eurasia 2018'!$K13-'Non-OECD Europe Eurasia 2018'!$G13-'Non-OECD Europe Eurasia 2018'!$H13)=0,1,('Non-OECD Europe Eurasia 2018'!$L13-'Non-OECD Europe Eurasia 2018'!$J13-'Non-OECD Europe Eurasia 2018'!$K13-'Non-OECD Europe Eurasia 2018'!$G13-'Non-OECD Europe Eurasia 2018'!$H13))</f>
        <v>0.67529965829216909</v>
      </c>
      <c r="H119" s="77">
        <f t="shared" si="1"/>
        <v>0.67529965829216909</v>
      </c>
      <c r="I119" s="77">
        <f t="shared" si="1"/>
        <v>0.67529965829216909</v>
      </c>
    </row>
    <row r="120" spans="1:11" x14ac:dyDescent="0.35">
      <c r="A120" s="30" t="s">
        <v>180</v>
      </c>
      <c r="B120" s="40">
        <f>'Non-OECD Europe Eurasia 1995'!$F13/IF(('Non-OECD Europe Eurasia 1995'!$L13-'Non-OECD Europe Eurasia 1995'!$J13-'Non-OECD Europe Eurasia 1995'!$K13-'Non-OECD Europe Eurasia 1995'!$G13-'Non-OECD Europe Eurasia 1995'!$H13)=0,1,('Non-OECD Europe Eurasia 1995'!$L13-'Non-OECD Europe Eurasia 1995'!$J13-'Non-OECD Europe Eurasia 1995'!$K13-'Non-OECD Europe Eurasia 1995'!$G13-'Non-OECD Europe Eurasia 1995'!$H13))</f>
        <v>1.1591523515019459E-3</v>
      </c>
      <c r="C120" s="40">
        <f>'Non-OECD Europe Eurasia 2000'!$F13/IF(('Non-OECD Europe Eurasia 2000'!$L13-'Non-OECD Europe Eurasia 2000'!$J13-'Non-OECD Europe Eurasia 2000'!$K13-'Non-OECD Europe Eurasia 2000'!$G13-'Non-OECD Europe Eurasia 2000'!$H13)=0,1,('Non-OECD Europe Eurasia 2000'!$L13-'Non-OECD Europe Eurasia 2000'!$J13-'Non-OECD Europe Eurasia 2000'!$K13-'Non-OECD Europe Eurasia 2000'!$G13-'Non-OECD Europe Eurasia 2000'!$H13))</f>
        <v>1.4076500365447606E-3</v>
      </c>
      <c r="D120" s="40">
        <f>'Non-OECD Europe Eurasia 2005'!$F13/IF(('Non-OECD Europe Eurasia 2005'!$L13-'Non-OECD Europe Eurasia 2005'!$J13-'Non-OECD Europe Eurasia 2005'!$K13-'Non-OECD Europe Eurasia 2005'!$G13-'Non-OECD Europe Eurasia 2005'!$H13)=0,1,('Non-OECD Europe Eurasia 2005'!$L13-'Non-OECD Europe Eurasia 2005'!$J13-'Non-OECD Europe Eurasia 2005'!$K13-'Non-OECD Europe Eurasia 2005'!$G13-'Non-OECD Europe Eurasia 2005'!$H13))</f>
        <v>1.1544290044032709E-3</v>
      </c>
      <c r="E120" s="40">
        <f>'Non-OECD Europe Eurasia 2010'!$F13/IF(('Non-OECD Europe Eurasia 2010'!$L13-'Non-OECD Europe Eurasia 2010'!$J13-'Non-OECD Europe Eurasia 2010'!$K13-'Non-OECD Europe Eurasia 2010'!$G13-'Non-OECD Europe Eurasia 2010'!$H13)=0,1,('Non-OECD Europe Eurasia 2010'!$L13-'Non-OECD Europe Eurasia 2010'!$J13-'Non-OECD Europe Eurasia 2010'!$K13-'Non-OECD Europe Eurasia 2010'!$G13-'Non-OECD Europe Eurasia 2010'!$H13))</f>
        <v>1.8597500495933347E-3</v>
      </c>
      <c r="F120" s="40">
        <f>'Non-OECD Europe Eurasia 2015'!$F13/IF(('Non-OECD Europe Eurasia 2015'!$L13-'Non-OECD Europe Eurasia 2015'!$J13-'Non-OECD Europe Eurasia 2015'!$K13-'Non-OECD Europe Eurasia 2015'!$G13-'Non-OECD Europe Eurasia 2015'!$H13)=0,1,('Non-OECD Europe Eurasia 2015'!$L13-'Non-OECD Europe Eurasia 2015'!$J13-'Non-OECD Europe Eurasia 2015'!$K13-'Non-OECD Europe Eurasia 2015'!$G13-'Non-OECD Europe Eurasia 2015'!$H13))</f>
        <v>1.7566958750825088E-3</v>
      </c>
      <c r="G120" s="40">
        <f>'Non-OECD Europe Eurasia 2018'!$F13/IF(('Non-OECD Europe Eurasia 2018'!$L13-'Non-OECD Europe Eurasia 2018'!$J13-'Non-OECD Europe Eurasia 2018'!$K13-'Non-OECD Europe Eurasia 2018'!$G13-'Non-OECD Europe Eurasia 2018'!$H13)=0,1,('Non-OECD Europe Eurasia 2018'!$L13-'Non-OECD Europe Eurasia 2018'!$J13-'Non-OECD Europe Eurasia 2018'!$K13-'Non-OECD Europe Eurasia 2018'!$G13-'Non-OECD Europe Eurasia 2018'!$H13))</f>
        <v>1.7917529788778527E-3</v>
      </c>
      <c r="H120" s="77">
        <f t="shared" si="1"/>
        <v>1.7917529788778527E-3</v>
      </c>
      <c r="I120" s="77">
        <f t="shared" si="1"/>
        <v>1.7917529788778527E-3</v>
      </c>
    </row>
    <row r="121" spans="1:11" x14ac:dyDescent="0.35">
      <c r="A121" s="30" t="s">
        <v>146</v>
      </c>
      <c r="B121" s="40">
        <f>'Non-OECD Europe Eurasia 1995'!$I13/IF(('Non-OECD Europe Eurasia 1995'!$L13-'Non-OECD Europe Eurasia 1995'!$J13-'Non-OECD Europe Eurasia 1995'!$K13-'Non-OECD Europe Eurasia 1995'!$G13-'Non-OECD Europe Eurasia 1995'!$H13)=0,1,('Non-OECD Europe Eurasia 1995'!$L13-'Non-OECD Europe Eurasia 1995'!$J13-'Non-OECD Europe Eurasia 1995'!$K13-'Non-OECD Europe Eurasia 1995'!$G13-'Non-OECD Europe Eurasia 1995'!$H13))</f>
        <v>5.1061394724389517E-3</v>
      </c>
      <c r="C121" s="40">
        <f>'Non-OECD Europe Eurasia 2000'!$I13/IF(('Non-OECD Europe Eurasia 2000'!$L13-'Non-OECD Europe Eurasia 2000'!$J13-'Non-OECD Europe Eurasia 2000'!$K13-'Non-OECD Europe Eurasia 2000'!$G13-'Non-OECD Europe Eurasia 2000'!$H13)=0,1,('Non-OECD Europe Eurasia 2000'!$L13-'Non-OECD Europe Eurasia 2000'!$J13-'Non-OECD Europe Eurasia 2000'!$K13-'Non-OECD Europe Eurasia 2000'!$G13-'Non-OECD Europe Eurasia 2000'!$H13))</f>
        <v>6.3382923348814903E-3</v>
      </c>
      <c r="D121" s="40">
        <f>'Non-OECD Europe Eurasia 2005'!$I13/IF(('Non-OECD Europe Eurasia 2005'!$L13-'Non-OECD Europe Eurasia 2005'!$J13-'Non-OECD Europe Eurasia 2005'!$K13-'Non-OECD Europe Eurasia 2005'!$G13-'Non-OECD Europe Eurasia 2005'!$H13)=0,1,('Non-OECD Europe Eurasia 2005'!$L13-'Non-OECD Europe Eurasia 2005'!$J13-'Non-OECD Europe Eurasia 2005'!$K13-'Non-OECD Europe Eurasia 2005'!$G13-'Non-OECD Europe Eurasia 2005'!$H13))</f>
        <v>6.1938868874020702E-3</v>
      </c>
      <c r="E121" s="40">
        <f>'Non-OECD Europe Eurasia 2010'!$I13/IF(('Non-OECD Europe Eurasia 2010'!$L13-'Non-OECD Europe Eurasia 2010'!$J13-'Non-OECD Europe Eurasia 2010'!$K13-'Non-OECD Europe Eurasia 2010'!$G13-'Non-OECD Europe Eurasia 2010'!$H13)=0,1,('Non-OECD Europe Eurasia 2010'!$L13-'Non-OECD Europe Eurasia 2010'!$J13-'Non-OECD Europe Eurasia 2010'!$K13-'Non-OECD Europe Eurasia 2010'!$G13-'Non-OECD Europe Eurasia 2010'!$H13))</f>
        <v>8.3529345084592064E-3</v>
      </c>
      <c r="F121" s="40">
        <f>'Non-OECD Europe Eurasia 2015'!$I13/IF(('Non-OECD Europe Eurasia 2015'!$L13-'Non-OECD Europe Eurasia 2015'!$J13-'Non-OECD Europe Eurasia 2015'!$K13-'Non-OECD Europe Eurasia 2015'!$G13-'Non-OECD Europe Eurasia 2015'!$H13)=0,1,('Non-OECD Europe Eurasia 2015'!$L13-'Non-OECD Europe Eurasia 2015'!$J13-'Non-OECD Europe Eurasia 2015'!$K13-'Non-OECD Europe Eurasia 2015'!$G13-'Non-OECD Europe Eurasia 2015'!$H13))</f>
        <v>1.0372538268379824E-2</v>
      </c>
      <c r="G121" s="40">
        <f>'Non-OECD Europe Eurasia 2018'!$I13/IF(('Non-OECD Europe Eurasia 2018'!$L13-'Non-OECD Europe Eurasia 2018'!$J13-'Non-OECD Europe Eurasia 2018'!$K13-'Non-OECD Europe Eurasia 2018'!$G13-'Non-OECD Europe Eurasia 2018'!$H13)=0,1,('Non-OECD Europe Eurasia 2018'!$L13-'Non-OECD Europe Eurasia 2018'!$J13-'Non-OECD Europe Eurasia 2018'!$K13-'Non-OECD Europe Eurasia 2018'!$G13-'Non-OECD Europe Eurasia 2018'!$H13))</f>
        <v>1.1749083762681255E-2</v>
      </c>
      <c r="H121" s="77">
        <f t="shared" si="1"/>
        <v>1.1749083762681255E-2</v>
      </c>
      <c r="I121" s="77">
        <f t="shared" si="1"/>
        <v>1.1749083762681255E-2</v>
      </c>
    </row>
    <row r="122" spans="1:11" x14ac:dyDescent="0.35">
      <c r="A122" s="32" t="s">
        <v>182</v>
      </c>
      <c r="B122" s="82"/>
      <c r="C122" s="82"/>
      <c r="D122" s="82"/>
      <c r="E122" s="82"/>
      <c r="F122" s="82"/>
      <c r="G122" s="82"/>
      <c r="H122" s="42"/>
      <c r="I122" s="42"/>
    </row>
    <row r="123" spans="1:11" x14ac:dyDescent="0.35">
      <c r="A123" s="30" t="s">
        <v>141</v>
      </c>
      <c r="B123" s="40">
        <f>'Non-OECD Europe Eurasia 1995'!$B14/IF(('Non-OECD Europe Eurasia 1995'!$L14-'Non-OECD Europe Eurasia 1995'!$J14-'Non-OECD Europe Eurasia 1995'!$K14-'Non-OECD Europe Eurasia 1995'!$G14-'Non-OECD Europe Eurasia 1995'!$H14)=0,1,('Non-OECD Europe Eurasia 1995'!$L14-'Non-OECD Europe Eurasia 1995'!$J14-'Non-OECD Europe Eurasia 1995'!$K14-'Non-OECD Europe Eurasia 1995'!$G14-'Non-OECD Europe Eurasia 1995'!$H14))</f>
        <v>0.16417952157388777</v>
      </c>
      <c r="C123" s="40">
        <f>'Non-OECD Europe Eurasia 2000'!$B14/IF(('Non-OECD Europe Eurasia 2000'!$L14-'Non-OECD Europe Eurasia 2000'!$J14-'Non-OECD Europe Eurasia 2000'!$K14-'Non-OECD Europe Eurasia 2000'!$G14-'Non-OECD Europe Eurasia 2000'!$H14)=0,1,('Non-OECD Europe Eurasia 2000'!$L14-'Non-OECD Europe Eurasia 2000'!$J14-'Non-OECD Europe Eurasia 2000'!$K14-'Non-OECD Europe Eurasia 2000'!$G14-'Non-OECD Europe Eurasia 2000'!$H14))</f>
        <v>0.13967135194966915</v>
      </c>
      <c r="D123" s="40">
        <f>'Non-OECD Europe Eurasia 2005'!$B14/IF(('Non-OECD Europe Eurasia 2005'!$L14-'Non-OECD Europe Eurasia 2005'!$J14-'Non-OECD Europe Eurasia 2005'!$K14-'Non-OECD Europe Eurasia 2005'!$G14-'Non-OECD Europe Eurasia 2005'!$H14)=0,1,('Non-OECD Europe Eurasia 2005'!$L14-'Non-OECD Europe Eurasia 2005'!$J14-'Non-OECD Europe Eurasia 2005'!$K14-'Non-OECD Europe Eurasia 2005'!$G14-'Non-OECD Europe Eurasia 2005'!$H14))</f>
        <v>0.14651228020966639</v>
      </c>
      <c r="E123" s="40">
        <f>'Non-OECD Europe Eurasia 2010'!$B14/IF(('Non-OECD Europe Eurasia 2010'!$L14-'Non-OECD Europe Eurasia 2010'!$J14-'Non-OECD Europe Eurasia 2010'!$K14-'Non-OECD Europe Eurasia 2010'!$G14-'Non-OECD Europe Eurasia 2010'!$H14)=0,1,('Non-OECD Europe Eurasia 2010'!$L14-'Non-OECD Europe Eurasia 2010'!$J14-'Non-OECD Europe Eurasia 2010'!$K14-'Non-OECD Europe Eurasia 2010'!$G14-'Non-OECD Europe Eurasia 2010'!$H14))</f>
        <v>0.14411484542629244</v>
      </c>
      <c r="F123" s="40">
        <f>'Non-OECD Europe Eurasia 2015'!$B14/IF(('Non-OECD Europe Eurasia 2015'!$L14-'Non-OECD Europe Eurasia 2015'!$J14-'Non-OECD Europe Eurasia 2015'!$K14-'Non-OECD Europe Eurasia 2015'!$G14-'Non-OECD Europe Eurasia 2015'!$H14)=0,1,('Non-OECD Europe Eurasia 2015'!$L14-'Non-OECD Europe Eurasia 2015'!$J14-'Non-OECD Europe Eurasia 2015'!$K14-'Non-OECD Europe Eurasia 2015'!$G14-'Non-OECD Europe Eurasia 2015'!$H14))</f>
        <v>0.15330207635632953</v>
      </c>
      <c r="G123" s="40">
        <f>'Non-OECD Europe Eurasia 2018'!$B14/IF(('Non-OECD Europe Eurasia 2018'!$L14-'Non-OECD Europe Eurasia 2018'!$J14-'Non-OECD Europe Eurasia 2018'!$K14-'Non-OECD Europe Eurasia 2018'!$G14-'Non-OECD Europe Eurasia 2018'!$H14)=0,1,('Non-OECD Europe Eurasia 2018'!$L14-'Non-OECD Europe Eurasia 2018'!$J14-'Non-OECD Europe Eurasia 2018'!$K14-'Non-OECD Europe Eurasia 2018'!$G14-'Non-OECD Europe Eurasia 2018'!$H14))</f>
        <v>0.16796560809873803</v>
      </c>
      <c r="H123" s="77">
        <f t="shared" si="1"/>
        <v>0.16796560809873803</v>
      </c>
      <c r="I123" s="77">
        <f t="shared" si="1"/>
        <v>0.16796560809873803</v>
      </c>
    </row>
    <row r="124" spans="1:11" x14ac:dyDescent="0.35">
      <c r="A124" s="30" t="s">
        <v>142</v>
      </c>
      <c r="B124" s="40">
        <f>'Non-OECD Europe Eurasia 1995'!$C14/IF(('Non-OECD Europe Eurasia 1995'!$L14-'Non-OECD Europe Eurasia 1995'!$J14-'Non-OECD Europe Eurasia 1995'!$K14-'Non-OECD Europe Eurasia 1995'!$G14-'Non-OECD Europe Eurasia 1995'!$H14)=0,1,('Non-OECD Europe Eurasia 1995'!$L14-'Non-OECD Europe Eurasia 1995'!$J14-'Non-OECD Europe Eurasia 1995'!$K14-'Non-OECD Europe Eurasia 1995'!$G14-'Non-OECD Europe Eurasia 1995'!$H14))</f>
        <v>6.9863626201654375E-6</v>
      </c>
      <c r="C124" s="40">
        <f>'Non-OECD Europe Eurasia 2000'!$C14/IF(('Non-OECD Europe Eurasia 2000'!$L14-'Non-OECD Europe Eurasia 2000'!$J14-'Non-OECD Europe Eurasia 2000'!$K14-'Non-OECD Europe Eurasia 2000'!$G14-'Non-OECD Europe Eurasia 2000'!$H14)=0,1,('Non-OECD Europe Eurasia 2000'!$L14-'Non-OECD Europe Eurasia 2000'!$J14-'Non-OECD Europe Eurasia 2000'!$K14-'Non-OECD Europe Eurasia 2000'!$G14-'Non-OECD Europe Eurasia 2000'!$H14))</f>
        <v>8.1307429985268617E-3</v>
      </c>
      <c r="D124" s="40">
        <f>'Non-OECD Europe Eurasia 2005'!$C14/IF(('Non-OECD Europe Eurasia 2005'!$L14-'Non-OECD Europe Eurasia 2005'!$J14-'Non-OECD Europe Eurasia 2005'!$K14-'Non-OECD Europe Eurasia 2005'!$G14-'Non-OECD Europe Eurasia 2005'!$H14)=0,1,('Non-OECD Europe Eurasia 2005'!$L14-'Non-OECD Europe Eurasia 2005'!$J14-'Non-OECD Europe Eurasia 2005'!$K14-'Non-OECD Europe Eurasia 2005'!$G14-'Non-OECD Europe Eurasia 2005'!$H14))</f>
        <v>6.6791718528127902E-3</v>
      </c>
      <c r="E124" s="40">
        <f>'Non-OECD Europe Eurasia 2010'!$C14/IF(('Non-OECD Europe Eurasia 2010'!$L14-'Non-OECD Europe Eurasia 2010'!$J14-'Non-OECD Europe Eurasia 2010'!$K14-'Non-OECD Europe Eurasia 2010'!$G14-'Non-OECD Europe Eurasia 2010'!$H14)=0,1,('Non-OECD Europe Eurasia 2010'!$L14-'Non-OECD Europe Eurasia 2010'!$J14-'Non-OECD Europe Eurasia 2010'!$K14-'Non-OECD Europe Eurasia 2010'!$G14-'Non-OECD Europe Eurasia 2010'!$H14))</f>
        <v>7.4664921919350338E-3</v>
      </c>
      <c r="F124" s="40">
        <f>'Non-OECD Europe Eurasia 2015'!$C14/IF(('Non-OECD Europe Eurasia 2015'!$L14-'Non-OECD Europe Eurasia 2015'!$J14-'Non-OECD Europe Eurasia 2015'!$K14-'Non-OECD Europe Eurasia 2015'!$G14-'Non-OECD Europe Eurasia 2015'!$H14)=0,1,('Non-OECD Europe Eurasia 2015'!$L14-'Non-OECD Europe Eurasia 2015'!$J14-'Non-OECD Europe Eurasia 2015'!$K14-'Non-OECD Europe Eurasia 2015'!$G14-'Non-OECD Europe Eurasia 2015'!$H14))</f>
        <v>7.8633623576691222E-3</v>
      </c>
      <c r="G124" s="40">
        <f>'Non-OECD Europe Eurasia 2018'!$C14/IF(('Non-OECD Europe Eurasia 2018'!$L14-'Non-OECD Europe Eurasia 2018'!$J14-'Non-OECD Europe Eurasia 2018'!$K14-'Non-OECD Europe Eurasia 2018'!$G14-'Non-OECD Europe Eurasia 2018'!$H14)=0,1,('Non-OECD Europe Eurasia 2018'!$L14-'Non-OECD Europe Eurasia 2018'!$J14-'Non-OECD Europe Eurasia 2018'!$K14-'Non-OECD Europe Eurasia 2018'!$G14-'Non-OECD Europe Eurasia 2018'!$H14))</f>
        <v>6.559423103591735E-3</v>
      </c>
      <c r="H124" s="77">
        <f t="shared" si="1"/>
        <v>6.559423103591735E-3</v>
      </c>
      <c r="I124" s="77">
        <f t="shared" si="1"/>
        <v>6.559423103591735E-3</v>
      </c>
    </row>
    <row r="125" spans="1:11" x14ac:dyDescent="0.35">
      <c r="A125" s="30" t="s">
        <v>143</v>
      </c>
      <c r="B125" s="40">
        <f>'Non-OECD Europe Eurasia 1995'!$D14/IF(('Non-OECD Europe Eurasia 1995'!$L14-'Non-OECD Europe Eurasia 1995'!$J14-'Non-OECD Europe Eurasia 1995'!$K14-'Non-OECD Europe Eurasia 1995'!$G14-'Non-OECD Europe Eurasia 1995'!$H14)=0,1,('Non-OECD Europe Eurasia 1995'!$L14-'Non-OECD Europe Eurasia 1995'!$J14-'Non-OECD Europe Eurasia 1995'!$K14-'Non-OECD Europe Eurasia 1995'!$G14-'Non-OECD Europe Eurasia 1995'!$H14))</f>
        <v>0.18114939637826963</v>
      </c>
      <c r="C125" s="40">
        <f>'Non-OECD Europe Eurasia 2000'!$D14/IF(('Non-OECD Europe Eurasia 2000'!$L14-'Non-OECD Europe Eurasia 2000'!$J14-'Non-OECD Europe Eurasia 2000'!$K14-'Non-OECD Europe Eurasia 2000'!$G14-'Non-OECD Europe Eurasia 2000'!$H14)=0,1,('Non-OECD Europe Eurasia 2000'!$L14-'Non-OECD Europe Eurasia 2000'!$J14-'Non-OECD Europe Eurasia 2000'!$K14-'Non-OECD Europe Eurasia 2000'!$G14-'Non-OECD Europe Eurasia 2000'!$H14))</f>
        <v>0.10644029723196627</v>
      </c>
      <c r="D125" s="40">
        <f>'Non-OECD Europe Eurasia 2005'!$D14/IF(('Non-OECD Europe Eurasia 2005'!$L14-'Non-OECD Europe Eurasia 2005'!$J14-'Non-OECD Europe Eurasia 2005'!$K14-'Non-OECD Europe Eurasia 2005'!$G14-'Non-OECD Europe Eurasia 2005'!$H14)=0,1,('Non-OECD Europe Eurasia 2005'!$L14-'Non-OECD Europe Eurasia 2005'!$J14-'Non-OECD Europe Eurasia 2005'!$K14-'Non-OECD Europe Eurasia 2005'!$G14-'Non-OECD Europe Eurasia 2005'!$H14))</f>
        <v>8.1464859842574899E-2</v>
      </c>
      <c r="E125" s="40">
        <f>'Non-OECD Europe Eurasia 2010'!$D14/IF(('Non-OECD Europe Eurasia 2010'!$L14-'Non-OECD Europe Eurasia 2010'!$J14-'Non-OECD Europe Eurasia 2010'!$K14-'Non-OECD Europe Eurasia 2010'!$G14-'Non-OECD Europe Eurasia 2010'!$H14)=0,1,('Non-OECD Europe Eurasia 2010'!$L14-'Non-OECD Europe Eurasia 2010'!$J14-'Non-OECD Europe Eurasia 2010'!$K14-'Non-OECD Europe Eurasia 2010'!$G14-'Non-OECD Europe Eurasia 2010'!$H14))</f>
        <v>7.1306924786637291E-2</v>
      </c>
      <c r="F125" s="40">
        <f>'Non-OECD Europe Eurasia 2015'!$D14/IF(('Non-OECD Europe Eurasia 2015'!$L14-'Non-OECD Europe Eurasia 2015'!$J14-'Non-OECD Europe Eurasia 2015'!$K14-'Non-OECD Europe Eurasia 2015'!$G14-'Non-OECD Europe Eurasia 2015'!$H14)=0,1,('Non-OECD Europe Eurasia 2015'!$L14-'Non-OECD Europe Eurasia 2015'!$J14-'Non-OECD Europe Eurasia 2015'!$K14-'Non-OECD Europe Eurasia 2015'!$G14-'Non-OECD Europe Eurasia 2015'!$H14))</f>
        <v>7.9062290689886142E-2</v>
      </c>
      <c r="G125" s="40">
        <f>'Non-OECD Europe Eurasia 2018'!$D14/IF(('Non-OECD Europe Eurasia 2018'!$L14-'Non-OECD Europe Eurasia 2018'!$J14-'Non-OECD Europe Eurasia 2018'!$K14-'Non-OECD Europe Eurasia 2018'!$G14-'Non-OECD Europe Eurasia 2018'!$H14)=0,1,('Non-OECD Europe Eurasia 2018'!$L14-'Non-OECD Europe Eurasia 2018'!$J14-'Non-OECD Europe Eurasia 2018'!$K14-'Non-OECD Europe Eurasia 2018'!$G14-'Non-OECD Europe Eurasia 2018'!$H14))</f>
        <v>6.3208986270974904E-2</v>
      </c>
      <c r="H125" s="77">
        <f t="shared" si="1"/>
        <v>6.3208986270974904E-2</v>
      </c>
      <c r="I125" s="77">
        <f t="shared" si="1"/>
        <v>6.3208986270974904E-2</v>
      </c>
    </row>
    <row r="126" spans="1:11" x14ac:dyDescent="0.35">
      <c r="A126" s="30" t="s">
        <v>241</v>
      </c>
      <c r="B126" s="40">
        <f>'Non-OECD Europe Eurasia 1995'!$E14/IF(('Non-OECD Europe Eurasia 1995'!$L14-'Non-OECD Europe Eurasia 1995'!$J14-'Non-OECD Europe Eurasia 1995'!$K14-'Non-OECD Europe Eurasia 1995'!$G14-'Non-OECD Europe Eurasia 1995'!$H14)=0,1,('Non-OECD Europe Eurasia 1995'!$L14-'Non-OECD Europe Eurasia 1995'!$J14-'Non-OECD Europe Eurasia 1995'!$K14-'Non-OECD Europe Eurasia 1995'!$G14-'Non-OECD Europe Eurasia 1995'!$H14))</f>
        <v>0.63492063492063489</v>
      </c>
      <c r="C126" s="40">
        <f>'Non-OECD Europe Eurasia 2000'!$E14/IF(('Non-OECD Europe Eurasia 2000'!$L14-'Non-OECD Europe Eurasia 2000'!$J14-'Non-OECD Europe Eurasia 2000'!$K14-'Non-OECD Europe Eurasia 2000'!$G14-'Non-OECD Europe Eurasia 2000'!$H14)=0,1,('Non-OECD Europe Eurasia 2000'!$L14-'Non-OECD Europe Eurasia 2000'!$J14-'Non-OECD Europe Eurasia 2000'!$K14-'Non-OECD Europe Eurasia 2000'!$G14-'Non-OECD Europe Eurasia 2000'!$H14))</f>
        <v>0.72643590223575083</v>
      </c>
      <c r="D126" s="40">
        <f>'Non-OECD Europe Eurasia 2005'!$E14/IF(('Non-OECD Europe Eurasia 2005'!$L14-'Non-OECD Europe Eurasia 2005'!$J14-'Non-OECD Europe Eurasia 2005'!$K14-'Non-OECD Europe Eurasia 2005'!$G14-'Non-OECD Europe Eurasia 2005'!$H14)=0,1,('Non-OECD Europe Eurasia 2005'!$L14-'Non-OECD Europe Eurasia 2005'!$J14-'Non-OECD Europe Eurasia 2005'!$K14-'Non-OECD Europe Eurasia 2005'!$G14-'Non-OECD Europe Eurasia 2005'!$H14))</f>
        <v>0.74128289185351404</v>
      </c>
      <c r="E126" s="40">
        <f>'Non-OECD Europe Eurasia 2010'!$E14/IF(('Non-OECD Europe Eurasia 2010'!$L14-'Non-OECD Europe Eurasia 2010'!$J14-'Non-OECD Europe Eurasia 2010'!$K14-'Non-OECD Europe Eurasia 2010'!$G14-'Non-OECD Europe Eurasia 2010'!$H14)=0,1,('Non-OECD Europe Eurasia 2010'!$L14-'Non-OECD Europe Eurasia 2010'!$J14-'Non-OECD Europe Eurasia 2010'!$K14-'Non-OECD Europe Eurasia 2010'!$G14-'Non-OECD Europe Eurasia 2010'!$H14))</f>
        <v>0.74633170083998035</v>
      </c>
      <c r="F126" s="40">
        <f>'Non-OECD Europe Eurasia 2015'!$E14/IF(('Non-OECD Europe Eurasia 2015'!$L14-'Non-OECD Europe Eurasia 2015'!$J14-'Non-OECD Europe Eurasia 2015'!$K14-'Non-OECD Europe Eurasia 2015'!$G14-'Non-OECD Europe Eurasia 2015'!$H14)=0,1,('Non-OECD Europe Eurasia 2015'!$L14-'Non-OECD Europe Eurasia 2015'!$J14-'Non-OECD Europe Eurasia 2015'!$K14-'Non-OECD Europe Eurasia 2015'!$G14-'Non-OECD Europe Eurasia 2015'!$H14))</f>
        <v>0.72046885465505695</v>
      </c>
      <c r="G126" s="40">
        <f>'Non-OECD Europe Eurasia 2018'!$E14/IF(('Non-OECD Europe Eurasia 2018'!$L14-'Non-OECD Europe Eurasia 2018'!$J14-'Non-OECD Europe Eurasia 2018'!$K14-'Non-OECD Europe Eurasia 2018'!$G14-'Non-OECD Europe Eurasia 2018'!$H14)=0,1,('Non-OECD Europe Eurasia 2018'!$L14-'Non-OECD Europe Eurasia 2018'!$J14-'Non-OECD Europe Eurasia 2018'!$K14-'Non-OECD Europe Eurasia 2018'!$G14-'Non-OECD Europe Eurasia 2018'!$H14))</f>
        <v>0.71361808348356681</v>
      </c>
      <c r="H126" s="89">
        <f>1-H123-H124-H125-H127-H128</f>
        <v>0.71361808348356681</v>
      </c>
      <c r="I126" s="89">
        <f>1-I123-I124-I125-I127-I128</f>
        <v>0.71361808348356681</v>
      </c>
    </row>
    <row r="127" spans="1:11" x14ac:dyDescent="0.35">
      <c r="A127" s="30" t="s">
        <v>180</v>
      </c>
      <c r="B127" s="40">
        <f>'Non-OECD Europe Eurasia 1995'!$F14/IF(('Non-OECD Europe Eurasia 1995'!$L14-'Non-OECD Europe Eurasia 1995'!$J14-'Non-OECD Europe Eurasia 1995'!$K14-'Non-OECD Europe Eurasia 1995'!$G14-'Non-OECD Europe Eurasia 1995'!$H14)=0,1,('Non-OECD Europe Eurasia 1995'!$L14-'Non-OECD Europe Eurasia 1995'!$J14-'Non-OECD Europe Eurasia 1995'!$K14-'Non-OECD Europe Eurasia 1995'!$G14-'Non-OECD Europe Eurasia 1995'!$H14))</f>
        <v>0</v>
      </c>
      <c r="C127" s="40">
        <f>'Non-OECD Europe Eurasia 2000'!$F14/IF(('Non-OECD Europe Eurasia 2000'!$L14-'Non-OECD Europe Eurasia 2000'!$J14-'Non-OECD Europe Eurasia 2000'!$K14-'Non-OECD Europe Eurasia 2000'!$G14-'Non-OECD Europe Eurasia 2000'!$H14)=0,1,('Non-OECD Europe Eurasia 2000'!$L14-'Non-OECD Europe Eurasia 2000'!$J14-'Non-OECD Europe Eurasia 2000'!$K14-'Non-OECD Europe Eurasia 2000'!$G14-'Non-OECD Europe Eurasia 2000'!$H14))</f>
        <v>0</v>
      </c>
      <c r="D127" s="40">
        <f>'Non-OECD Europe Eurasia 2005'!$F14/IF(('Non-OECD Europe Eurasia 2005'!$L14-'Non-OECD Europe Eurasia 2005'!$J14-'Non-OECD Europe Eurasia 2005'!$K14-'Non-OECD Europe Eurasia 2005'!$G14-'Non-OECD Europe Eurasia 2005'!$H14)=0,1,('Non-OECD Europe Eurasia 2005'!$L14-'Non-OECD Europe Eurasia 2005'!$J14-'Non-OECD Europe Eurasia 2005'!$K14-'Non-OECD Europe Eurasia 2005'!$G14-'Non-OECD Europe Eurasia 2005'!$H14))</f>
        <v>0</v>
      </c>
      <c r="E127" s="40">
        <f>'Non-OECD Europe Eurasia 2010'!$F14/IF(('Non-OECD Europe Eurasia 2010'!$L14-'Non-OECD Europe Eurasia 2010'!$J14-'Non-OECD Europe Eurasia 2010'!$K14-'Non-OECD Europe Eurasia 2010'!$G14-'Non-OECD Europe Eurasia 2010'!$H14)=0,1,('Non-OECD Europe Eurasia 2010'!$L14-'Non-OECD Europe Eurasia 2010'!$J14-'Non-OECD Europe Eurasia 2010'!$K14-'Non-OECD Europe Eurasia 2010'!$G14-'Non-OECD Europe Eurasia 2010'!$H14))</f>
        <v>0</v>
      </c>
      <c r="F127" s="40">
        <f>'Non-OECD Europe Eurasia 2015'!$F14/IF(('Non-OECD Europe Eurasia 2015'!$L14-'Non-OECD Europe Eurasia 2015'!$J14-'Non-OECD Europe Eurasia 2015'!$K14-'Non-OECD Europe Eurasia 2015'!$G14-'Non-OECD Europe Eurasia 2015'!$H14)=0,1,('Non-OECD Europe Eurasia 2015'!$L14-'Non-OECD Europe Eurasia 2015'!$J14-'Non-OECD Europe Eurasia 2015'!$K14-'Non-OECD Europe Eurasia 2015'!$G14-'Non-OECD Europe Eurasia 2015'!$H14))</f>
        <v>0</v>
      </c>
      <c r="G127" s="40">
        <f>'Non-OECD Europe Eurasia 2018'!$F14/IF(('Non-OECD Europe Eurasia 2018'!$L14-'Non-OECD Europe Eurasia 2018'!$J14-'Non-OECD Europe Eurasia 2018'!$K14-'Non-OECD Europe Eurasia 2018'!$G14-'Non-OECD Europe Eurasia 2018'!$H14)=0,1,('Non-OECD Europe Eurasia 2018'!$L14-'Non-OECD Europe Eurasia 2018'!$J14-'Non-OECD Europe Eurasia 2018'!$K14-'Non-OECD Europe Eurasia 2018'!$G14-'Non-OECD Europe Eurasia 2018'!$H14))</f>
        <v>0</v>
      </c>
      <c r="H127" s="77">
        <f t="shared" si="1"/>
        <v>0</v>
      </c>
      <c r="I127" s="77">
        <f t="shared" si="1"/>
        <v>0</v>
      </c>
      <c r="K127" s="7"/>
    </row>
    <row r="128" spans="1:11" x14ac:dyDescent="0.35">
      <c r="A128" s="30" t="s">
        <v>146</v>
      </c>
      <c r="B128" s="40">
        <f>'Non-OECD Europe Eurasia 1995'!$I14/IF(('Non-OECD Europe Eurasia 1995'!$L14-'Non-OECD Europe Eurasia 1995'!$J14-'Non-OECD Europe Eurasia 1995'!$K14-'Non-OECD Europe Eurasia 1995'!$G14-'Non-OECD Europe Eurasia 1995'!$H14)=0,1,('Non-OECD Europe Eurasia 1995'!$L14-'Non-OECD Europe Eurasia 1995'!$J14-'Non-OECD Europe Eurasia 1995'!$K14-'Non-OECD Europe Eurasia 1995'!$G14-'Non-OECD Europe Eurasia 1995'!$H14))</f>
        <v>1.9743460764587526E-2</v>
      </c>
      <c r="C128" s="40">
        <f>'Non-OECD Europe Eurasia 2000'!$I14/IF(('Non-OECD Europe Eurasia 2000'!$L14-'Non-OECD Europe Eurasia 2000'!$J14-'Non-OECD Europe Eurasia 2000'!$K14-'Non-OECD Europe Eurasia 2000'!$G14-'Non-OECD Europe Eurasia 2000'!$H14)=0,1,('Non-OECD Europe Eurasia 2000'!$L14-'Non-OECD Europe Eurasia 2000'!$J14-'Non-OECD Europe Eurasia 2000'!$K14-'Non-OECD Europe Eurasia 2000'!$G14-'Non-OECD Europe Eurasia 2000'!$H14))</f>
        <v>1.9321705584086857E-2</v>
      </c>
      <c r="D128" s="40">
        <f>'Non-OECD Europe Eurasia 2005'!$I14/IF(('Non-OECD Europe Eurasia 2005'!$L14-'Non-OECD Europe Eurasia 2005'!$J14-'Non-OECD Europe Eurasia 2005'!$K14-'Non-OECD Europe Eurasia 2005'!$G14-'Non-OECD Europe Eurasia 2005'!$H14)=0,1,('Non-OECD Europe Eurasia 2005'!$L14-'Non-OECD Europe Eurasia 2005'!$J14-'Non-OECD Europe Eurasia 2005'!$K14-'Non-OECD Europe Eurasia 2005'!$G14-'Non-OECD Europe Eurasia 2005'!$H14))</f>
        <v>2.4060796241431901E-2</v>
      </c>
      <c r="E128" s="40">
        <f>'Non-OECD Europe Eurasia 2010'!$I14/IF(('Non-OECD Europe Eurasia 2010'!$L14-'Non-OECD Europe Eurasia 2010'!$J14-'Non-OECD Europe Eurasia 2010'!$K14-'Non-OECD Europe Eurasia 2010'!$G14-'Non-OECD Europe Eurasia 2010'!$H14)=0,1,('Non-OECD Europe Eurasia 2010'!$L14-'Non-OECD Europe Eurasia 2010'!$J14-'Non-OECD Europe Eurasia 2010'!$K14-'Non-OECD Europe Eurasia 2010'!$G14-'Non-OECD Europe Eurasia 2010'!$H14))</f>
        <v>3.0789658523443439E-2</v>
      </c>
      <c r="F128" s="40">
        <f>'Non-OECD Europe Eurasia 2015'!$I14/IF(('Non-OECD Europe Eurasia 2015'!$L14-'Non-OECD Europe Eurasia 2015'!$J14-'Non-OECD Europe Eurasia 2015'!$K14-'Non-OECD Europe Eurasia 2015'!$G14-'Non-OECD Europe Eurasia 2015'!$H14)=0,1,('Non-OECD Europe Eurasia 2015'!$L14-'Non-OECD Europe Eurasia 2015'!$J14-'Non-OECD Europe Eurasia 2015'!$K14-'Non-OECD Europe Eurasia 2015'!$G14-'Non-OECD Europe Eurasia 2015'!$H14))</f>
        <v>3.9303415941058274E-2</v>
      </c>
      <c r="G128" s="40">
        <f>'Non-OECD Europe Eurasia 2018'!$I14/IF(('Non-OECD Europe Eurasia 2018'!$L14-'Non-OECD Europe Eurasia 2018'!$J14-'Non-OECD Europe Eurasia 2018'!$K14-'Non-OECD Europe Eurasia 2018'!$G14-'Non-OECD Europe Eurasia 2018'!$H14)=0,1,('Non-OECD Europe Eurasia 2018'!$L14-'Non-OECD Europe Eurasia 2018'!$J14-'Non-OECD Europe Eurasia 2018'!$K14-'Non-OECD Europe Eurasia 2018'!$G14-'Non-OECD Europe Eurasia 2018'!$H14))</f>
        <v>4.8647899043128551E-2</v>
      </c>
      <c r="H128" s="77">
        <f t="shared" si="1"/>
        <v>4.8647899043128551E-2</v>
      </c>
      <c r="I128" s="77">
        <f t="shared" si="1"/>
        <v>4.8647899043128551E-2</v>
      </c>
    </row>
    <row r="129" spans="1:9" x14ac:dyDescent="0.35">
      <c r="A129" s="32" t="s">
        <v>183</v>
      </c>
      <c r="B129" s="82"/>
      <c r="C129" s="82"/>
      <c r="D129" s="82"/>
      <c r="E129" s="82"/>
      <c r="F129" s="82"/>
      <c r="G129" s="82"/>
      <c r="H129" s="42"/>
      <c r="I129" s="42"/>
    </row>
    <row r="130" spans="1:9" x14ac:dyDescent="0.35">
      <c r="A130" s="30" t="s">
        <v>142</v>
      </c>
      <c r="B130" s="40">
        <v>1</v>
      </c>
      <c r="C130" s="40">
        <v>1</v>
      </c>
      <c r="D130" s="40">
        <v>1</v>
      </c>
      <c r="E130" s="40">
        <v>1</v>
      </c>
      <c r="F130" s="40">
        <v>1</v>
      </c>
      <c r="G130" s="40">
        <v>1</v>
      </c>
      <c r="H130" s="89">
        <f>1-H131</f>
        <v>1</v>
      </c>
      <c r="I130" s="89">
        <f>1-I131</f>
        <v>1</v>
      </c>
    </row>
    <row r="131" spans="1:9" x14ac:dyDescent="0.35">
      <c r="A131" s="30" t="s">
        <v>146</v>
      </c>
      <c r="B131" s="40">
        <v>0</v>
      </c>
      <c r="C131" s="40">
        <v>0</v>
      </c>
      <c r="D131" s="40">
        <v>0</v>
      </c>
      <c r="E131" s="40">
        <v>0</v>
      </c>
      <c r="F131" s="40">
        <v>0</v>
      </c>
      <c r="G131" s="40">
        <v>0</v>
      </c>
      <c r="H131" s="77">
        <f t="shared" si="1"/>
        <v>0</v>
      </c>
      <c r="I131" s="77">
        <f t="shared" si="1"/>
        <v>0</v>
      </c>
    </row>
    <row r="132" spans="1:9" x14ac:dyDescent="0.35">
      <c r="A132" s="30"/>
      <c r="B132" s="40">
        <v>0</v>
      </c>
      <c r="C132" s="40">
        <v>0</v>
      </c>
      <c r="D132" s="40">
        <v>0</v>
      </c>
      <c r="E132" s="40">
        <v>0</v>
      </c>
      <c r="F132" s="40">
        <v>0</v>
      </c>
      <c r="G132" s="40">
        <v>0</v>
      </c>
      <c r="H132" s="77">
        <f t="shared" si="1"/>
        <v>0</v>
      </c>
      <c r="I132" s="77">
        <f t="shared" si="1"/>
        <v>0</v>
      </c>
    </row>
    <row r="133" spans="1:9" x14ac:dyDescent="0.35">
      <c r="A133" s="32" t="s">
        <v>184</v>
      </c>
      <c r="B133" s="42"/>
      <c r="C133" s="42"/>
      <c r="D133" s="42"/>
      <c r="E133" s="42"/>
      <c r="F133" s="42"/>
      <c r="G133" s="42"/>
      <c r="H133" s="42"/>
      <c r="I133" s="42"/>
    </row>
    <row r="134" spans="1:9" x14ac:dyDescent="0.35">
      <c r="A134" s="30" t="s">
        <v>185</v>
      </c>
      <c r="H134" s="77">
        <v>0</v>
      </c>
      <c r="I134" s="77">
        <v>0</v>
      </c>
    </row>
    <row r="135" spans="1:9" x14ac:dyDescent="0.35">
      <c r="A135" s="30" t="s">
        <v>186</v>
      </c>
      <c r="H135" s="77">
        <v>0</v>
      </c>
      <c r="I135" s="77">
        <v>0</v>
      </c>
    </row>
    <row r="136" spans="1:9" x14ac:dyDescent="0.35">
      <c r="A136" s="30" t="s">
        <v>245</v>
      </c>
      <c r="H136" s="77">
        <v>0</v>
      </c>
      <c r="I136" s="77">
        <v>0</v>
      </c>
    </row>
    <row r="137" spans="1:9" x14ac:dyDescent="0.35">
      <c r="A137" s="30" t="s">
        <v>188</v>
      </c>
      <c r="H137" s="77">
        <v>0</v>
      </c>
      <c r="I137" s="77">
        <v>0</v>
      </c>
    </row>
    <row r="138" spans="1:9" x14ac:dyDescent="0.35">
      <c r="A138" s="32" t="s">
        <v>189</v>
      </c>
      <c r="B138" s="42"/>
      <c r="C138" s="42"/>
      <c r="D138" s="42"/>
      <c r="E138" s="42"/>
      <c r="F138" s="42"/>
      <c r="G138" s="42"/>
      <c r="H138" s="42"/>
      <c r="I138" s="42"/>
    </row>
    <row r="139" spans="1:9" x14ac:dyDescent="0.35">
      <c r="A139" s="30" t="s">
        <v>190</v>
      </c>
      <c r="G139" s="94">
        <v>0.8</v>
      </c>
      <c r="H139" s="93">
        <f>G139</f>
        <v>0.8</v>
      </c>
      <c r="I139" s="77">
        <f t="shared" ref="I139:I142" si="5">H139</f>
        <v>0.8</v>
      </c>
    </row>
    <row r="140" spans="1:9" x14ac:dyDescent="0.35">
      <c r="A140" s="30" t="s">
        <v>191</v>
      </c>
      <c r="G140" s="94">
        <v>0.3</v>
      </c>
      <c r="H140" s="93">
        <f t="shared" ref="H140:H142" si="6">G140</f>
        <v>0.3</v>
      </c>
      <c r="I140" s="77">
        <f t="shared" si="5"/>
        <v>0.3</v>
      </c>
    </row>
    <row r="141" spans="1:9" x14ac:dyDescent="0.35">
      <c r="A141" s="30" t="s">
        <v>192</v>
      </c>
      <c r="G141" s="94">
        <v>0.95</v>
      </c>
      <c r="H141" s="93">
        <f t="shared" si="6"/>
        <v>0.95</v>
      </c>
      <c r="I141" s="77">
        <f t="shared" si="5"/>
        <v>0.95</v>
      </c>
    </row>
    <row r="142" spans="1:9" x14ac:dyDescent="0.35">
      <c r="A142" s="30" t="s">
        <v>193</v>
      </c>
      <c r="G142" s="94">
        <v>1</v>
      </c>
      <c r="H142" s="93">
        <f t="shared" si="6"/>
        <v>1</v>
      </c>
      <c r="I142" s="77">
        <f t="shared" si="5"/>
        <v>1</v>
      </c>
    </row>
  </sheetData>
  <mergeCells count="1">
    <mergeCell ref="B3:I3"/>
  </mergeCells>
  <pageMargins left="0.7" right="0.7" top="0.75" bottom="0.75" header="0.3" footer="0.3"/>
  <pageSetup paperSize="9" orientation="portrait" horizontalDpi="4294967293" verticalDpi="4294967293"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 codeName="Ark45"/>
  <dimension ref="A1:L32"/>
  <sheetViews>
    <sheetView workbookViewId="0">
      <selection activeCell="I34" sqref="I34"/>
    </sheetView>
  </sheetViews>
  <sheetFormatPr defaultRowHeight="14.5" x14ac:dyDescent="0.35"/>
  <cols>
    <col min="1" max="1" width="30" customWidth="1"/>
    <col min="2" max="2" width="11.54296875" customWidth="1"/>
    <col min="3" max="3" width="12" customWidth="1"/>
    <col min="4" max="4" width="14.54296875" customWidth="1"/>
    <col min="5" max="5" width="14.1796875" customWidth="1"/>
    <col min="8" max="8" width="22.81640625" customWidth="1"/>
    <col min="9" max="9" width="21.81640625" customWidth="1"/>
    <col min="10" max="10" width="13.81640625" customWidth="1"/>
    <col min="11" max="11" width="12.26953125" customWidth="1"/>
    <col min="12" max="12" width="11.81640625" customWidth="1"/>
  </cols>
  <sheetData>
    <row r="1" spans="1:12" x14ac:dyDescent="0.35">
      <c r="B1" t="s">
        <v>214</v>
      </c>
      <c r="C1" t="s">
        <v>2</v>
      </c>
      <c r="D1" t="s">
        <v>215</v>
      </c>
      <c r="E1" t="s">
        <v>216</v>
      </c>
      <c r="F1" t="s">
        <v>5</v>
      </c>
      <c r="G1" t="s">
        <v>6</v>
      </c>
      <c r="H1" t="s">
        <v>217</v>
      </c>
      <c r="I1" t="s">
        <v>8</v>
      </c>
      <c r="J1" t="s">
        <v>9</v>
      </c>
      <c r="K1" t="s">
        <v>10</v>
      </c>
      <c r="L1" t="s">
        <v>218</v>
      </c>
    </row>
    <row r="2" spans="1:12" x14ac:dyDescent="0.35">
      <c r="B2" t="s">
        <v>219</v>
      </c>
      <c r="C2" t="s">
        <v>219</v>
      </c>
      <c r="D2" t="s">
        <v>219</v>
      </c>
      <c r="E2" t="s">
        <v>219</v>
      </c>
      <c r="F2" t="s">
        <v>219</v>
      </c>
      <c r="G2" t="s">
        <v>219</v>
      </c>
      <c r="H2" t="s">
        <v>219</v>
      </c>
      <c r="I2" t="s">
        <v>219</v>
      </c>
      <c r="J2" t="s">
        <v>219</v>
      </c>
      <c r="K2" t="s">
        <v>219</v>
      </c>
      <c r="L2" t="s">
        <v>219</v>
      </c>
    </row>
    <row r="3" spans="1:12" x14ac:dyDescent="0.35">
      <c r="A3" t="s">
        <v>17</v>
      </c>
      <c r="B3" s="7">
        <v>236411</v>
      </c>
      <c r="C3" s="7">
        <v>365112</v>
      </c>
      <c r="D3" s="7"/>
      <c r="E3" s="7">
        <v>591700</v>
      </c>
      <c r="F3" s="7">
        <v>49202</v>
      </c>
      <c r="G3" s="7">
        <v>23880</v>
      </c>
      <c r="H3" s="7">
        <v>71</v>
      </c>
      <c r="I3" s="7">
        <v>14467</v>
      </c>
      <c r="J3" s="7"/>
      <c r="K3" s="7"/>
      <c r="L3" s="7">
        <v>1280844</v>
      </c>
    </row>
    <row r="4" spans="1:12" x14ac:dyDescent="0.35">
      <c r="A4" t="s">
        <v>220</v>
      </c>
      <c r="B4" s="7">
        <v>31966</v>
      </c>
      <c r="C4" s="7">
        <v>57332</v>
      </c>
      <c r="D4" s="7">
        <v>27616</v>
      </c>
      <c r="E4" s="7">
        <v>92930</v>
      </c>
      <c r="F4" s="7"/>
      <c r="G4" s="7"/>
      <c r="H4" s="7"/>
      <c r="I4" s="7">
        <v>2</v>
      </c>
      <c r="J4" s="7">
        <v>6636</v>
      </c>
      <c r="K4" s="7"/>
      <c r="L4" s="7">
        <v>216482</v>
      </c>
    </row>
    <row r="5" spans="1:12" x14ac:dyDescent="0.35">
      <c r="A5" t="s">
        <v>221</v>
      </c>
      <c r="B5" s="7">
        <v>-29718</v>
      </c>
      <c r="C5" s="7">
        <v>-134472</v>
      </c>
      <c r="D5" s="7">
        <v>-64288</v>
      </c>
      <c r="E5" s="7">
        <v>-178552</v>
      </c>
      <c r="F5" s="7"/>
      <c r="G5" s="7"/>
      <c r="H5" s="7"/>
      <c r="I5" s="7">
        <v>-9</v>
      </c>
      <c r="J5" s="7">
        <v>-7158</v>
      </c>
      <c r="K5" s="7"/>
      <c r="L5" s="7">
        <v>-414196</v>
      </c>
    </row>
    <row r="6" spans="1:12" x14ac:dyDescent="0.35">
      <c r="A6" t="s">
        <v>222</v>
      </c>
      <c r="B6" s="7"/>
      <c r="C6" s="7"/>
      <c r="D6" s="7">
        <v>-2313</v>
      </c>
      <c r="E6" s="7"/>
      <c r="F6" s="7"/>
      <c r="G6" s="7"/>
      <c r="H6" s="7"/>
      <c r="I6" s="7"/>
      <c r="J6" s="7"/>
      <c r="K6" s="7"/>
      <c r="L6" s="7">
        <v>-2313</v>
      </c>
    </row>
    <row r="7" spans="1:12" x14ac:dyDescent="0.35">
      <c r="A7" t="s">
        <v>223</v>
      </c>
      <c r="B7" s="7"/>
      <c r="C7" s="7"/>
      <c r="D7" s="7">
        <v>-6616</v>
      </c>
      <c r="E7" s="7"/>
      <c r="F7" s="7"/>
      <c r="G7" s="7"/>
      <c r="H7" s="7"/>
      <c r="I7" s="7"/>
      <c r="J7" s="7"/>
      <c r="K7" s="7"/>
      <c r="L7" s="7">
        <v>-6616</v>
      </c>
    </row>
    <row r="8" spans="1:12" x14ac:dyDescent="0.35">
      <c r="A8" t="s">
        <v>224</v>
      </c>
      <c r="B8" s="7">
        <v>3123</v>
      </c>
      <c r="C8" s="7">
        <v>-2995</v>
      </c>
      <c r="D8" s="7">
        <v>684</v>
      </c>
      <c r="E8" s="7">
        <v>-13382</v>
      </c>
      <c r="F8" s="7"/>
      <c r="G8" s="7"/>
      <c r="H8" s="7"/>
      <c r="I8" s="7">
        <v>32</v>
      </c>
      <c r="J8" s="7"/>
      <c r="K8" s="7"/>
      <c r="L8" s="7">
        <v>-12539</v>
      </c>
    </row>
    <row r="9" spans="1:12" x14ac:dyDescent="0.35">
      <c r="A9" t="s">
        <v>225</v>
      </c>
      <c r="B9" s="7">
        <v>241781</v>
      </c>
      <c r="C9" s="7">
        <v>284977</v>
      </c>
      <c r="D9" s="7">
        <v>-44917</v>
      </c>
      <c r="E9" s="7">
        <v>492697</v>
      </c>
      <c r="F9" s="7">
        <v>49202</v>
      </c>
      <c r="G9" s="7">
        <v>23880</v>
      </c>
      <c r="H9" s="7">
        <v>71</v>
      </c>
      <c r="I9" s="7">
        <v>14492</v>
      </c>
      <c r="J9" s="7">
        <v>-522</v>
      </c>
      <c r="K9" s="7"/>
      <c r="L9" s="7">
        <v>1061663</v>
      </c>
    </row>
    <row r="10" spans="1:12" x14ac:dyDescent="0.35">
      <c r="A10" t="s">
        <v>226</v>
      </c>
      <c r="B10" s="7"/>
      <c r="C10" s="7">
        <v>-600</v>
      </c>
      <c r="D10" s="7">
        <v>630</v>
      </c>
      <c r="E10" s="7"/>
      <c r="F10" s="7"/>
      <c r="G10" s="7"/>
      <c r="H10" s="7"/>
      <c r="I10" s="7"/>
      <c r="J10" s="7"/>
      <c r="K10" s="7"/>
      <c r="L10" s="7">
        <v>30</v>
      </c>
    </row>
    <row r="11" spans="1:12" x14ac:dyDescent="0.35">
      <c r="A11" t="s">
        <v>227</v>
      </c>
      <c r="B11" s="7">
        <v>3174</v>
      </c>
      <c r="C11" s="7">
        <v>-1310</v>
      </c>
      <c r="D11" s="7">
        <v>-4037</v>
      </c>
      <c r="E11" s="7">
        <v>6467</v>
      </c>
      <c r="F11" s="7"/>
      <c r="G11" s="7"/>
      <c r="H11" s="7"/>
      <c r="I11" s="7">
        <v>-21</v>
      </c>
      <c r="J11" s="7">
        <v>-281</v>
      </c>
      <c r="K11" s="7">
        <v>-195</v>
      </c>
      <c r="L11" s="7">
        <v>3796</v>
      </c>
    </row>
    <row r="12" spans="1:12" x14ac:dyDescent="0.35">
      <c r="A12" t="s">
        <v>228</v>
      </c>
      <c r="B12" s="7">
        <v>-39124</v>
      </c>
      <c r="C12" s="7"/>
      <c r="D12" s="7">
        <v>-7391</v>
      </c>
      <c r="E12" s="7">
        <v>-15646</v>
      </c>
      <c r="F12" s="7">
        <v>-48886</v>
      </c>
      <c r="G12" s="7">
        <v>-23880</v>
      </c>
      <c r="H12" s="7">
        <v>-26</v>
      </c>
      <c r="I12" s="7"/>
      <c r="J12" s="7">
        <v>57620</v>
      </c>
      <c r="K12" s="7"/>
      <c r="L12" s="7">
        <v>-77334</v>
      </c>
    </row>
    <row r="13" spans="1:12" x14ac:dyDescent="0.35">
      <c r="A13" t="s">
        <v>66</v>
      </c>
      <c r="B13" s="7">
        <v>-82971</v>
      </c>
      <c r="C13" s="7">
        <v>-392</v>
      </c>
      <c r="D13" s="7">
        <v>-29388</v>
      </c>
      <c r="E13" s="7">
        <v>-158153</v>
      </c>
      <c r="F13" s="7">
        <v>-316</v>
      </c>
      <c r="G13" s="7"/>
      <c r="H13" s="7"/>
      <c r="I13" s="7">
        <v>-1392</v>
      </c>
      <c r="J13" s="7">
        <v>65406</v>
      </c>
      <c r="K13" s="7">
        <v>118180</v>
      </c>
      <c r="L13" s="7">
        <v>-89027</v>
      </c>
    </row>
    <row r="14" spans="1:12" x14ac:dyDescent="0.35">
      <c r="A14" t="s">
        <v>229</v>
      </c>
      <c r="B14" s="7">
        <v>-23500</v>
      </c>
      <c r="C14" s="7">
        <v>-1</v>
      </c>
      <c r="D14" s="7">
        <v>-25929</v>
      </c>
      <c r="E14" s="7">
        <v>-90880</v>
      </c>
      <c r="F14" s="7"/>
      <c r="G14" s="7"/>
      <c r="H14" s="7"/>
      <c r="I14" s="7">
        <v>-2826</v>
      </c>
      <c r="J14" s="7"/>
      <c r="K14" s="7">
        <v>130493</v>
      </c>
      <c r="L14" s="7">
        <v>-12643</v>
      </c>
    </row>
    <row r="15" spans="1:12" x14ac:dyDescent="0.35">
      <c r="A15" t="s">
        <v>230</v>
      </c>
      <c r="B15" s="7">
        <v>9</v>
      </c>
      <c r="C15" s="7"/>
      <c r="D15" s="7">
        <v>-12</v>
      </c>
      <c r="E15" s="7"/>
      <c r="F15" s="7"/>
      <c r="G15" s="7"/>
      <c r="H15" s="7"/>
      <c r="I15" s="7"/>
      <c r="J15" s="7"/>
      <c r="K15" s="7"/>
      <c r="L15" s="7">
        <v>-3</v>
      </c>
    </row>
    <row r="16" spans="1:12" x14ac:dyDescent="0.35">
      <c r="A16" t="s">
        <v>70</v>
      </c>
      <c r="B16" s="7"/>
      <c r="C16" s="7">
        <v>-278922</v>
      </c>
      <c r="D16" s="7">
        <v>268414</v>
      </c>
      <c r="E16" s="7"/>
      <c r="F16" s="7"/>
      <c r="G16" s="7"/>
      <c r="H16" s="7"/>
      <c r="I16" s="7"/>
      <c r="J16" s="7"/>
      <c r="K16" s="7"/>
      <c r="L16" s="7">
        <v>-10508</v>
      </c>
    </row>
    <row r="17" spans="1:12" x14ac:dyDescent="0.35">
      <c r="A17" t="s">
        <v>231</v>
      </c>
      <c r="B17" s="7">
        <v>-35408</v>
      </c>
      <c r="C17" s="7"/>
      <c r="D17" s="7"/>
      <c r="E17" s="7"/>
      <c r="F17" s="7"/>
      <c r="G17" s="7"/>
      <c r="H17" s="7"/>
      <c r="I17" s="7"/>
      <c r="J17" s="7"/>
      <c r="K17" s="7"/>
      <c r="L17" s="7">
        <v>-35408</v>
      </c>
    </row>
    <row r="18" spans="1:12" x14ac:dyDescent="0.35">
      <c r="A18" t="s">
        <v>232</v>
      </c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</row>
    <row r="19" spans="1:12" x14ac:dyDescent="0.35">
      <c r="A19" t="s">
        <v>233</v>
      </c>
      <c r="B19" s="7"/>
      <c r="C19" s="7">
        <v>24</v>
      </c>
      <c r="D19" s="7"/>
      <c r="E19" s="7">
        <v>-22</v>
      </c>
      <c r="F19" s="7"/>
      <c r="G19" s="7"/>
      <c r="H19" s="7"/>
      <c r="I19" s="7">
        <v>-17</v>
      </c>
      <c r="J19" s="7"/>
      <c r="K19" s="7"/>
      <c r="L19" s="7">
        <v>-14</v>
      </c>
    </row>
    <row r="20" spans="1:12" x14ac:dyDescent="0.35">
      <c r="A20" t="s">
        <v>234</v>
      </c>
      <c r="B20" s="7">
        <v>-3465</v>
      </c>
      <c r="C20" s="7">
        <v>-2423</v>
      </c>
      <c r="D20" s="7">
        <v>-9205</v>
      </c>
      <c r="E20" s="7">
        <v>-16553</v>
      </c>
      <c r="F20" s="7"/>
      <c r="G20" s="7"/>
      <c r="H20" s="7"/>
      <c r="I20" s="7">
        <v>-98</v>
      </c>
      <c r="J20" s="7">
        <v>-18417</v>
      </c>
      <c r="K20" s="7">
        <v>-17084</v>
      </c>
      <c r="L20" s="7">
        <v>-67245</v>
      </c>
    </row>
    <row r="21" spans="1:12" x14ac:dyDescent="0.35">
      <c r="A21" t="s">
        <v>235</v>
      </c>
      <c r="B21" s="7">
        <v>-6726</v>
      </c>
      <c r="C21" s="7">
        <v>-1043</v>
      </c>
      <c r="D21" s="7">
        <v>-188</v>
      </c>
      <c r="E21" s="7">
        <v>-10525</v>
      </c>
      <c r="F21" s="7"/>
      <c r="G21" s="7"/>
      <c r="H21" s="7">
        <v>-2</v>
      </c>
      <c r="I21" s="7">
        <v>-30</v>
      </c>
      <c r="J21" s="7">
        <v>-13626</v>
      </c>
      <c r="K21" s="7">
        <v>-13515</v>
      </c>
      <c r="L21" s="7">
        <v>-45656</v>
      </c>
    </row>
    <row r="22" spans="1:12" x14ac:dyDescent="0.35">
      <c r="A22" t="s">
        <v>131</v>
      </c>
      <c r="B22" s="7">
        <v>53770</v>
      </c>
      <c r="C22" s="7">
        <v>310</v>
      </c>
      <c r="D22" s="7">
        <v>147976</v>
      </c>
      <c r="E22" s="7">
        <v>207385</v>
      </c>
      <c r="F22" s="7"/>
      <c r="G22" s="7"/>
      <c r="H22" s="7">
        <v>44</v>
      </c>
      <c r="I22" s="7">
        <v>10108</v>
      </c>
      <c r="J22" s="7">
        <v>90180</v>
      </c>
      <c r="K22" s="7">
        <v>217878</v>
      </c>
      <c r="L22" s="7">
        <v>727651</v>
      </c>
    </row>
    <row r="23" spans="1:12" x14ac:dyDescent="0.35">
      <c r="A23" t="s">
        <v>80</v>
      </c>
      <c r="B23" s="7">
        <v>34493</v>
      </c>
      <c r="C23" s="7">
        <v>38</v>
      </c>
      <c r="D23" s="7">
        <v>22406</v>
      </c>
      <c r="E23" s="7">
        <v>58316</v>
      </c>
      <c r="F23" s="7"/>
      <c r="G23" s="7"/>
      <c r="H23" s="7"/>
      <c r="I23" s="7">
        <v>953</v>
      </c>
      <c r="J23" s="7">
        <v>43173</v>
      </c>
      <c r="K23" s="7">
        <v>90152</v>
      </c>
      <c r="L23" s="7">
        <v>249532</v>
      </c>
    </row>
    <row r="24" spans="1:12" x14ac:dyDescent="0.35">
      <c r="A24" t="s">
        <v>82</v>
      </c>
      <c r="B24" s="7">
        <v>17</v>
      </c>
      <c r="C24" s="7">
        <v>10</v>
      </c>
      <c r="D24" s="7">
        <v>67208</v>
      </c>
      <c r="E24" s="7">
        <v>34711</v>
      </c>
      <c r="F24" s="7"/>
      <c r="G24" s="7"/>
      <c r="H24" s="7"/>
      <c r="I24" s="7">
        <v>6</v>
      </c>
      <c r="J24" s="7">
        <v>7570</v>
      </c>
      <c r="K24" s="7"/>
      <c r="L24" s="7">
        <v>109522</v>
      </c>
    </row>
    <row r="25" spans="1:12" x14ac:dyDescent="0.35">
      <c r="A25" t="s">
        <v>86</v>
      </c>
      <c r="B25" s="7">
        <v>14034</v>
      </c>
      <c r="C25" s="7">
        <v>133</v>
      </c>
      <c r="D25" s="7">
        <v>9376</v>
      </c>
      <c r="E25" s="7">
        <v>70515</v>
      </c>
      <c r="F25" s="7"/>
      <c r="G25" s="7"/>
      <c r="H25" s="7"/>
      <c r="I25" s="7">
        <v>7578</v>
      </c>
      <c r="J25" s="7">
        <v>20772</v>
      </c>
      <c r="K25" s="7">
        <v>91055</v>
      </c>
      <c r="L25" s="7">
        <v>213463</v>
      </c>
    </row>
    <row r="26" spans="1:12" x14ac:dyDescent="0.35">
      <c r="A26" t="s">
        <v>88</v>
      </c>
      <c r="B26" s="7">
        <v>1435</v>
      </c>
      <c r="C26" s="7"/>
      <c r="D26" s="7">
        <v>941</v>
      </c>
      <c r="E26" s="7">
        <v>13153</v>
      </c>
      <c r="F26" s="7"/>
      <c r="G26" s="7"/>
      <c r="H26" s="7">
        <v>2</v>
      </c>
      <c r="I26" s="7">
        <v>574</v>
      </c>
      <c r="J26" s="7">
        <v>8527</v>
      </c>
      <c r="K26" s="7">
        <v>15786</v>
      </c>
      <c r="L26" s="7">
        <v>40417</v>
      </c>
    </row>
    <row r="27" spans="1:12" x14ac:dyDescent="0.35">
      <c r="A27" t="s">
        <v>90</v>
      </c>
      <c r="B27" s="7">
        <v>414</v>
      </c>
      <c r="C27" s="7"/>
      <c r="D27" s="7">
        <v>14787</v>
      </c>
      <c r="E27" s="7">
        <v>1381</v>
      </c>
      <c r="F27" s="7"/>
      <c r="G27" s="7"/>
      <c r="H27" s="7">
        <v>12</v>
      </c>
      <c r="I27" s="7">
        <v>479</v>
      </c>
      <c r="J27" s="7">
        <v>9350</v>
      </c>
      <c r="K27" s="7">
        <v>8572</v>
      </c>
      <c r="L27" s="7">
        <v>34994</v>
      </c>
    </row>
    <row r="28" spans="1:12" x14ac:dyDescent="0.35">
      <c r="A28" t="s">
        <v>92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</row>
    <row r="29" spans="1:12" x14ac:dyDescent="0.35">
      <c r="A29" t="s">
        <v>94</v>
      </c>
      <c r="B29" s="7">
        <v>3363</v>
      </c>
      <c r="C29" s="7"/>
      <c r="D29" s="7">
        <v>6443</v>
      </c>
      <c r="E29" s="7">
        <v>8880</v>
      </c>
      <c r="F29" s="7"/>
      <c r="G29" s="7"/>
      <c r="H29" s="7">
        <v>31</v>
      </c>
      <c r="I29" s="7">
        <v>518</v>
      </c>
      <c r="J29" s="7">
        <v>789</v>
      </c>
      <c r="K29" s="7">
        <v>12314</v>
      </c>
      <c r="L29" s="7">
        <v>32337</v>
      </c>
    </row>
    <row r="30" spans="1:12" x14ac:dyDescent="0.35">
      <c r="A30" t="s">
        <v>236</v>
      </c>
      <c r="B30" s="7">
        <v>13</v>
      </c>
      <c r="C30" s="7">
        <v>129</v>
      </c>
      <c r="D30" s="7">
        <v>26816</v>
      </c>
      <c r="E30" s="7">
        <v>20429</v>
      </c>
      <c r="F30" s="7"/>
      <c r="G30" s="7"/>
      <c r="H30" s="7"/>
      <c r="I30" s="7"/>
      <c r="J30" s="7"/>
      <c r="K30" s="7"/>
      <c r="L30" s="7">
        <v>47387</v>
      </c>
    </row>
    <row r="32" spans="1:12" x14ac:dyDescent="0.35">
      <c r="B32" s="7">
        <f>SUM(B9,B10:B21,B22*-1)</f>
        <v>0</v>
      </c>
      <c r="C32" s="7">
        <f t="shared" ref="C32:L32" si="0">SUM(C9,C10:C21,C22*-1)</f>
        <v>0</v>
      </c>
      <c r="D32" s="7">
        <f t="shared" si="0"/>
        <v>1</v>
      </c>
      <c r="E32" s="7">
        <f t="shared" si="0"/>
        <v>0</v>
      </c>
      <c r="F32" s="7">
        <f t="shared" si="0"/>
        <v>0</v>
      </c>
      <c r="G32" s="7">
        <f t="shared" si="0"/>
        <v>0</v>
      </c>
      <c r="H32" s="7">
        <f t="shared" si="0"/>
        <v>-1</v>
      </c>
      <c r="I32" s="7">
        <f t="shared" si="0"/>
        <v>0</v>
      </c>
      <c r="J32" s="7">
        <f t="shared" si="0"/>
        <v>0</v>
      </c>
      <c r="K32" s="7">
        <f t="shared" si="0"/>
        <v>1</v>
      </c>
      <c r="L32" s="7">
        <f t="shared" si="0"/>
        <v>0</v>
      </c>
    </row>
  </sheetData>
  <pageMargins left="0.7" right="0.7" top="0.75" bottom="0.75" header="0.3" footer="0.3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 codeName="Ark46"/>
  <dimension ref="A1:L32"/>
  <sheetViews>
    <sheetView workbookViewId="0">
      <selection activeCell="A3" sqref="A3:L30"/>
    </sheetView>
  </sheetViews>
  <sheetFormatPr defaultRowHeight="14.5" x14ac:dyDescent="0.35"/>
  <cols>
    <col min="1" max="1" width="30" customWidth="1"/>
    <col min="2" max="2" width="11.54296875" customWidth="1"/>
    <col min="3" max="3" width="12" customWidth="1"/>
    <col min="4" max="4" width="14.54296875" customWidth="1"/>
    <col min="5" max="5" width="14.1796875" customWidth="1"/>
    <col min="8" max="8" width="22.81640625" customWidth="1"/>
    <col min="9" max="9" width="21.81640625" customWidth="1"/>
    <col min="10" max="10" width="13.81640625" customWidth="1"/>
    <col min="11" max="11" width="12.26953125" customWidth="1"/>
    <col min="12" max="12" width="11.81640625" customWidth="1"/>
  </cols>
  <sheetData>
    <row r="1" spans="1:12" x14ac:dyDescent="0.35">
      <c r="B1" t="s">
        <v>214</v>
      </c>
      <c r="C1" t="s">
        <v>2</v>
      </c>
      <c r="D1" t="s">
        <v>215</v>
      </c>
      <c r="E1" t="s">
        <v>216</v>
      </c>
      <c r="F1" t="s">
        <v>5</v>
      </c>
      <c r="G1" t="s">
        <v>6</v>
      </c>
      <c r="H1" t="s">
        <v>217</v>
      </c>
      <c r="I1" t="s">
        <v>8</v>
      </c>
      <c r="J1" t="s">
        <v>9</v>
      </c>
      <c r="K1" t="s">
        <v>10</v>
      </c>
      <c r="L1" t="s">
        <v>218</v>
      </c>
    </row>
    <row r="2" spans="1:12" x14ac:dyDescent="0.35">
      <c r="B2" t="s">
        <v>219</v>
      </c>
      <c r="C2" t="s">
        <v>219</v>
      </c>
      <c r="D2" t="s">
        <v>219</v>
      </c>
      <c r="E2" t="s">
        <v>219</v>
      </c>
      <c r="F2" t="s">
        <v>219</v>
      </c>
      <c r="G2" t="s">
        <v>219</v>
      </c>
      <c r="H2" t="s">
        <v>219</v>
      </c>
      <c r="I2" t="s">
        <v>219</v>
      </c>
      <c r="J2" t="s">
        <v>219</v>
      </c>
      <c r="K2" t="s">
        <v>219</v>
      </c>
      <c r="L2" t="s">
        <v>219</v>
      </c>
    </row>
    <row r="3" spans="1:12" x14ac:dyDescent="0.35">
      <c r="A3" t="s">
        <v>17</v>
      </c>
      <c r="B3" s="7">
        <v>223408</v>
      </c>
      <c r="C3" s="7">
        <v>403729</v>
      </c>
      <c r="D3" s="7"/>
      <c r="E3" s="7">
        <v>595351</v>
      </c>
      <c r="F3" s="7">
        <v>61255</v>
      </c>
      <c r="G3" s="7">
        <v>22950</v>
      </c>
      <c r="H3" s="7">
        <v>117</v>
      </c>
      <c r="I3" s="7">
        <v>15135</v>
      </c>
      <c r="J3" s="7"/>
      <c r="K3" s="7"/>
      <c r="L3" s="7">
        <v>1321945</v>
      </c>
    </row>
    <row r="4" spans="1:12" x14ac:dyDescent="0.35">
      <c r="A4" t="s">
        <v>220</v>
      </c>
      <c r="B4" s="7">
        <v>26119</v>
      </c>
      <c r="C4" s="7">
        <v>41965</v>
      </c>
      <c r="D4" s="7">
        <v>21268</v>
      </c>
      <c r="E4" s="7">
        <v>92311</v>
      </c>
      <c r="F4" s="7"/>
      <c r="G4" s="7"/>
      <c r="H4" s="7"/>
      <c r="I4" s="7">
        <v>66</v>
      </c>
      <c r="J4" s="7">
        <v>5369</v>
      </c>
      <c r="K4" s="7"/>
      <c r="L4" s="7">
        <v>187098</v>
      </c>
    </row>
    <row r="5" spans="1:12" x14ac:dyDescent="0.35">
      <c r="A5" t="s">
        <v>221</v>
      </c>
      <c r="B5" s="7">
        <v>-42773</v>
      </c>
      <c r="C5" s="7">
        <v>-183286</v>
      </c>
      <c r="D5" s="7">
        <v>-74517</v>
      </c>
      <c r="E5" s="7">
        <v>-196266</v>
      </c>
      <c r="F5" s="7"/>
      <c r="G5" s="7"/>
      <c r="H5" s="7"/>
      <c r="I5" s="7">
        <v>-71</v>
      </c>
      <c r="J5" s="7">
        <v>-5807</v>
      </c>
      <c r="K5" s="7"/>
      <c r="L5" s="7">
        <v>-502720</v>
      </c>
    </row>
    <row r="6" spans="1:12" x14ac:dyDescent="0.35">
      <c r="A6" t="s">
        <v>222</v>
      </c>
      <c r="B6" s="7"/>
      <c r="C6" s="7"/>
      <c r="D6" s="7">
        <v>-3532</v>
      </c>
      <c r="E6" s="7"/>
      <c r="F6" s="7"/>
      <c r="G6" s="7"/>
      <c r="H6" s="7"/>
      <c r="I6" s="7"/>
      <c r="J6" s="7"/>
      <c r="K6" s="7"/>
      <c r="L6" s="7">
        <v>-3532</v>
      </c>
    </row>
    <row r="7" spans="1:12" x14ac:dyDescent="0.35">
      <c r="A7" t="s">
        <v>223</v>
      </c>
      <c r="B7" s="7"/>
      <c r="C7" s="7"/>
      <c r="D7" s="7">
        <v>-6174</v>
      </c>
      <c r="E7" s="7"/>
      <c r="F7" s="7"/>
      <c r="G7" s="7"/>
      <c r="H7" s="7"/>
      <c r="I7" s="7"/>
      <c r="J7" s="7"/>
      <c r="K7" s="7"/>
      <c r="L7" s="7">
        <v>-6174</v>
      </c>
    </row>
    <row r="8" spans="1:12" x14ac:dyDescent="0.35">
      <c r="A8" t="s">
        <v>224</v>
      </c>
      <c r="B8" s="7">
        <v>1969</v>
      </c>
      <c r="C8" s="7">
        <v>-101</v>
      </c>
      <c r="D8" s="7">
        <v>380</v>
      </c>
      <c r="E8" s="7">
        <v>-5795</v>
      </c>
      <c r="F8" s="7"/>
      <c r="G8" s="7"/>
      <c r="H8" s="7"/>
      <c r="I8" s="7">
        <v>-107</v>
      </c>
      <c r="J8" s="7"/>
      <c r="K8" s="7"/>
      <c r="L8" s="7">
        <v>-3653</v>
      </c>
    </row>
    <row r="9" spans="1:12" x14ac:dyDescent="0.35">
      <c r="A9" t="s">
        <v>225</v>
      </c>
      <c r="B9" s="7">
        <v>208723</v>
      </c>
      <c r="C9" s="7">
        <v>262308</v>
      </c>
      <c r="D9" s="7">
        <v>-62574</v>
      </c>
      <c r="E9" s="7">
        <v>485601</v>
      </c>
      <c r="F9" s="7">
        <v>61255</v>
      </c>
      <c r="G9" s="7">
        <v>22950</v>
      </c>
      <c r="H9" s="7">
        <v>117</v>
      </c>
      <c r="I9" s="7">
        <v>15023</v>
      </c>
      <c r="J9" s="7">
        <v>-438</v>
      </c>
      <c r="K9" s="7"/>
      <c r="L9" s="7">
        <v>992964</v>
      </c>
    </row>
    <row r="10" spans="1:12" x14ac:dyDescent="0.35">
      <c r="A10" t="s">
        <v>226</v>
      </c>
      <c r="B10" s="7"/>
      <c r="C10" s="7">
        <v>-656</v>
      </c>
      <c r="D10" s="7">
        <v>717</v>
      </c>
      <c r="E10" s="7"/>
      <c r="F10" s="7"/>
      <c r="G10" s="7"/>
      <c r="H10" s="7"/>
      <c r="I10" s="7"/>
      <c r="J10" s="7"/>
      <c r="K10" s="7"/>
      <c r="L10" s="7">
        <v>61</v>
      </c>
    </row>
    <row r="11" spans="1:12" x14ac:dyDescent="0.35">
      <c r="A11" t="s">
        <v>227</v>
      </c>
      <c r="B11" s="7">
        <v>-2145</v>
      </c>
      <c r="C11" s="7">
        <v>2349</v>
      </c>
      <c r="D11" s="7">
        <v>-583</v>
      </c>
      <c r="E11" s="7">
        <v>3757</v>
      </c>
      <c r="F11" s="7"/>
      <c r="G11" s="7"/>
      <c r="H11" s="7"/>
      <c r="I11" s="7"/>
      <c r="J11" s="7">
        <v>62</v>
      </c>
      <c r="K11" s="7">
        <v>11</v>
      </c>
      <c r="L11" s="7">
        <v>3452</v>
      </c>
    </row>
    <row r="12" spans="1:12" x14ac:dyDescent="0.35">
      <c r="A12" t="s">
        <v>228</v>
      </c>
      <c r="B12" s="7">
        <v>-32406</v>
      </c>
      <c r="C12" s="7">
        <v>-7</v>
      </c>
      <c r="D12" s="7">
        <v>-4110</v>
      </c>
      <c r="E12" s="7">
        <v>-14574</v>
      </c>
      <c r="F12" s="7">
        <v>-60891</v>
      </c>
      <c r="G12" s="7">
        <v>-22950</v>
      </c>
      <c r="H12" s="7">
        <v>-51</v>
      </c>
      <c r="I12" s="7"/>
      <c r="J12" s="7">
        <v>58625</v>
      </c>
      <c r="K12" s="7"/>
      <c r="L12" s="7">
        <v>-76365</v>
      </c>
    </row>
    <row r="13" spans="1:12" x14ac:dyDescent="0.35">
      <c r="A13" t="s">
        <v>66</v>
      </c>
      <c r="B13" s="7">
        <v>-83365</v>
      </c>
      <c r="C13" s="7">
        <v>-67</v>
      </c>
      <c r="D13" s="7">
        <v>-18686</v>
      </c>
      <c r="E13" s="7">
        <v>-154466</v>
      </c>
      <c r="F13" s="7">
        <v>-364</v>
      </c>
      <c r="G13" s="7"/>
      <c r="H13" s="7"/>
      <c r="I13" s="7">
        <v>-1639</v>
      </c>
      <c r="J13" s="7">
        <v>63033</v>
      </c>
      <c r="K13" s="7">
        <v>95894</v>
      </c>
      <c r="L13" s="7">
        <v>-99660</v>
      </c>
    </row>
    <row r="14" spans="1:12" x14ac:dyDescent="0.35">
      <c r="A14" t="s">
        <v>229</v>
      </c>
      <c r="B14" s="7">
        <v>-17161</v>
      </c>
      <c r="C14" s="7">
        <v>-999</v>
      </c>
      <c r="D14" s="7">
        <v>-13078</v>
      </c>
      <c r="E14" s="7">
        <v>-89255</v>
      </c>
      <c r="F14" s="7"/>
      <c r="G14" s="7"/>
      <c r="H14" s="7"/>
      <c r="I14" s="7">
        <v>-2374</v>
      </c>
      <c r="J14" s="7"/>
      <c r="K14" s="7">
        <v>100785</v>
      </c>
      <c r="L14" s="7">
        <v>-22082</v>
      </c>
    </row>
    <row r="15" spans="1:12" x14ac:dyDescent="0.35">
      <c r="A15" t="s">
        <v>230</v>
      </c>
      <c r="B15" s="7">
        <v>9</v>
      </c>
      <c r="C15" s="7"/>
      <c r="D15" s="7">
        <v>-12</v>
      </c>
      <c r="E15" s="7"/>
      <c r="F15" s="7"/>
      <c r="G15" s="7"/>
      <c r="H15" s="7"/>
      <c r="I15" s="7"/>
      <c r="J15" s="7"/>
      <c r="K15" s="7"/>
      <c r="L15" s="7">
        <v>-3</v>
      </c>
    </row>
    <row r="16" spans="1:12" x14ac:dyDescent="0.35">
      <c r="A16" t="s">
        <v>70</v>
      </c>
      <c r="B16" s="7"/>
      <c r="C16" s="7">
        <v>-258671</v>
      </c>
      <c r="D16" s="7">
        <v>255620</v>
      </c>
      <c r="E16" s="7"/>
      <c r="F16" s="7"/>
      <c r="G16" s="7"/>
      <c r="H16" s="7"/>
      <c r="I16" s="7"/>
      <c r="J16" s="7"/>
      <c r="K16" s="7"/>
      <c r="L16" s="7">
        <v>-3050</v>
      </c>
    </row>
    <row r="17" spans="1:12" x14ac:dyDescent="0.35">
      <c r="A17" t="s">
        <v>231</v>
      </c>
      <c r="B17" s="7">
        <v>-32749</v>
      </c>
      <c r="C17" s="7"/>
      <c r="D17" s="7"/>
      <c r="E17" s="7"/>
      <c r="F17" s="7"/>
      <c r="G17" s="7"/>
      <c r="H17" s="7"/>
      <c r="I17" s="7"/>
      <c r="J17" s="7"/>
      <c r="K17" s="7"/>
      <c r="L17" s="7">
        <v>-32749</v>
      </c>
    </row>
    <row r="18" spans="1:12" x14ac:dyDescent="0.35">
      <c r="A18" t="s">
        <v>232</v>
      </c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</row>
    <row r="19" spans="1:12" x14ac:dyDescent="0.35">
      <c r="A19" t="s">
        <v>233</v>
      </c>
      <c r="B19" s="7"/>
      <c r="C19" s="7">
        <v>343</v>
      </c>
      <c r="D19" s="7">
        <v>-5</v>
      </c>
      <c r="E19" s="7">
        <v>-3023</v>
      </c>
      <c r="F19" s="7"/>
      <c r="G19" s="7"/>
      <c r="H19" s="7"/>
      <c r="I19" s="7">
        <v>-19</v>
      </c>
      <c r="J19" s="7"/>
      <c r="K19" s="7"/>
      <c r="L19" s="7">
        <v>-2703</v>
      </c>
    </row>
    <row r="20" spans="1:12" x14ac:dyDescent="0.35">
      <c r="A20" t="s">
        <v>234</v>
      </c>
      <c r="B20" s="7">
        <v>-3377</v>
      </c>
      <c r="C20" s="7">
        <v>-1623</v>
      </c>
      <c r="D20" s="7">
        <v>-14275</v>
      </c>
      <c r="E20" s="7">
        <v>-18128</v>
      </c>
      <c r="F20" s="7"/>
      <c r="G20" s="7"/>
      <c r="H20" s="7"/>
      <c r="I20" s="7">
        <v>-117</v>
      </c>
      <c r="J20" s="7">
        <v>-19073</v>
      </c>
      <c r="K20" s="7">
        <v>-11573</v>
      </c>
      <c r="L20" s="7">
        <v>-68165</v>
      </c>
    </row>
    <row r="21" spans="1:12" x14ac:dyDescent="0.35">
      <c r="A21" t="s">
        <v>235</v>
      </c>
      <c r="B21" s="7">
        <v>-1257</v>
      </c>
      <c r="C21" s="7">
        <v>-2007</v>
      </c>
      <c r="D21" s="7">
        <v>-281</v>
      </c>
      <c r="E21" s="7">
        <v>-9853</v>
      </c>
      <c r="F21" s="7"/>
      <c r="G21" s="7"/>
      <c r="H21" s="7">
        <v>-1</v>
      </c>
      <c r="I21" s="7"/>
      <c r="J21" s="7">
        <v>-16129</v>
      </c>
      <c r="K21" s="7">
        <v>-14659</v>
      </c>
      <c r="L21" s="7">
        <v>-44188</v>
      </c>
    </row>
    <row r="22" spans="1:12" x14ac:dyDescent="0.35">
      <c r="A22" t="s">
        <v>131</v>
      </c>
      <c r="B22" s="7">
        <v>36272</v>
      </c>
      <c r="C22" s="7">
        <v>971</v>
      </c>
      <c r="D22" s="7">
        <v>142733</v>
      </c>
      <c r="E22" s="7">
        <v>200058</v>
      </c>
      <c r="F22" s="7"/>
      <c r="G22" s="7"/>
      <c r="H22" s="7">
        <v>65</v>
      </c>
      <c r="I22" s="7">
        <v>10874</v>
      </c>
      <c r="J22" s="7">
        <v>86081</v>
      </c>
      <c r="K22" s="7">
        <v>170458</v>
      </c>
      <c r="L22" s="7">
        <v>647513</v>
      </c>
    </row>
    <row r="23" spans="1:12" x14ac:dyDescent="0.35">
      <c r="A23" t="s">
        <v>80</v>
      </c>
      <c r="B23" s="7">
        <v>20488</v>
      </c>
      <c r="C23" s="7">
        <v>46</v>
      </c>
      <c r="D23" s="7">
        <v>24411</v>
      </c>
      <c r="E23" s="7">
        <v>53705</v>
      </c>
      <c r="F23" s="7"/>
      <c r="G23" s="7"/>
      <c r="H23" s="7"/>
      <c r="I23" s="7">
        <v>1151</v>
      </c>
      <c r="J23" s="7">
        <v>41296</v>
      </c>
      <c r="K23" s="7">
        <v>63496</v>
      </c>
      <c r="L23" s="7">
        <v>204593</v>
      </c>
    </row>
    <row r="24" spans="1:12" x14ac:dyDescent="0.35">
      <c r="A24" t="s">
        <v>82</v>
      </c>
      <c r="B24" s="7">
        <v>7</v>
      </c>
      <c r="C24" s="7">
        <v>10</v>
      </c>
      <c r="D24" s="7">
        <v>69353</v>
      </c>
      <c r="E24" s="7">
        <v>32908</v>
      </c>
      <c r="F24" s="7"/>
      <c r="G24" s="7"/>
      <c r="H24" s="7"/>
      <c r="I24" s="7"/>
      <c r="J24" s="7">
        <v>6814</v>
      </c>
      <c r="K24" s="7"/>
      <c r="L24" s="7">
        <v>109093</v>
      </c>
    </row>
    <row r="25" spans="1:12" x14ac:dyDescent="0.35">
      <c r="A25" t="s">
        <v>86</v>
      </c>
      <c r="B25" s="7">
        <v>12700</v>
      </c>
      <c r="C25" s="7">
        <v>722</v>
      </c>
      <c r="D25" s="7">
        <v>6619</v>
      </c>
      <c r="E25" s="7">
        <v>77030</v>
      </c>
      <c r="F25" s="7"/>
      <c r="G25" s="7"/>
      <c r="H25" s="7">
        <v>9</v>
      </c>
      <c r="I25" s="7">
        <v>8614</v>
      </c>
      <c r="J25" s="7">
        <v>22464</v>
      </c>
      <c r="K25" s="7">
        <v>82431</v>
      </c>
      <c r="L25" s="7">
        <v>210590</v>
      </c>
    </row>
    <row r="26" spans="1:12" x14ac:dyDescent="0.35">
      <c r="A26" t="s">
        <v>88</v>
      </c>
      <c r="B26" s="7">
        <v>568</v>
      </c>
      <c r="C26" s="7"/>
      <c r="D26" s="7">
        <v>1705</v>
      </c>
      <c r="E26" s="7">
        <v>10584</v>
      </c>
      <c r="F26" s="7"/>
      <c r="G26" s="7"/>
      <c r="H26" s="7">
        <v>8</v>
      </c>
      <c r="I26" s="7">
        <v>211</v>
      </c>
      <c r="J26" s="7">
        <v>9017</v>
      </c>
      <c r="K26" s="7">
        <v>14700</v>
      </c>
      <c r="L26" s="7">
        <v>36792</v>
      </c>
    </row>
    <row r="27" spans="1:12" x14ac:dyDescent="0.35">
      <c r="A27" t="s">
        <v>90</v>
      </c>
      <c r="B27" s="7">
        <v>338</v>
      </c>
      <c r="C27" s="7">
        <v>1</v>
      </c>
      <c r="D27" s="7">
        <v>10171</v>
      </c>
      <c r="E27" s="7">
        <v>753</v>
      </c>
      <c r="F27" s="7"/>
      <c r="G27" s="7"/>
      <c r="H27" s="7">
        <v>12</v>
      </c>
      <c r="I27" s="7">
        <v>224</v>
      </c>
      <c r="J27" s="7">
        <v>5651</v>
      </c>
      <c r="K27" s="7">
        <v>4637</v>
      </c>
      <c r="L27" s="7">
        <v>21788</v>
      </c>
    </row>
    <row r="28" spans="1:12" x14ac:dyDescent="0.35">
      <c r="A28" t="s">
        <v>92</v>
      </c>
      <c r="B28" s="7"/>
      <c r="C28" s="7"/>
      <c r="D28" s="7">
        <v>56</v>
      </c>
      <c r="E28" s="7"/>
      <c r="F28" s="7"/>
      <c r="G28" s="7"/>
      <c r="H28" s="7"/>
      <c r="I28" s="7"/>
      <c r="J28" s="7">
        <v>2</v>
      </c>
      <c r="K28" s="7"/>
      <c r="L28" s="7">
        <v>58</v>
      </c>
    </row>
    <row r="29" spans="1:12" x14ac:dyDescent="0.35">
      <c r="A29" t="s">
        <v>94</v>
      </c>
      <c r="B29" s="7">
        <v>745</v>
      </c>
      <c r="C29" s="7">
        <v>67</v>
      </c>
      <c r="D29" s="7">
        <v>4558</v>
      </c>
      <c r="E29" s="7">
        <v>5519</v>
      </c>
      <c r="F29" s="7"/>
      <c r="G29" s="7"/>
      <c r="H29" s="7">
        <v>35</v>
      </c>
      <c r="I29" s="7">
        <v>673</v>
      </c>
      <c r="J29" s="7">
        <v>838</v>
      </c>
      <c r="K29" s="7">
        <v>5194</v>
      </c>
      <c r="L29" s="7">
        <v>17631</v>
      </c>
    </row>
    <row r="30" spans="1:12" x14ac:dyDescent="0.35">
      <c r="A30" t="s">
        <v>236</v>
      </c>
      <c r="B30" s="7">
        <v>1426</v>
      </c>
      <c r="C30" s="7">
        <v>125</v>
      </c>
      <c r="D30" s="7">
        <v>25858</v>
      </c>
      <c r="E30" s="7">
        <v>19559</v>
      </c>
      <c r="F30" s="7"/>
      <c r="G30" s="7"/>
      <c r="H30" s="7"/>
      <c r="I30" s="7"/>
      <c r="J30" s="7"/>
      <c r="K30" s="7"/>
      <c r="L30" s="7">
        <v>46967</v>
      </c>
    </row>
    <row r="32" spans="1:12" x14ac:dyDescent="0.35">
      <c r="B32" s="7">
        <f>SUM(B9,B10:B21,B22*-1)</f>
        <v>0</v>
      </c>
      <c r="C32" s="7">
        <f t="shared" ref="C32:L32" si="0">SUM(C9,C10:C21,C22*-1)</f>
        <v>-1</v>
      </c>
      <c r="D32" s="7">
        <f t="shared" si="0"/>
        <v>0</v>
      </c>
      <c r="E32" s="7">
        <f t="shared" si="0"/>
        <v>1</v>
      </c>
      <c r="F32" s="7">
        <f t="shared" si="0"/>
        <v>0</v>
      </c>
      <c r="G32" s="7">
        <f t="shared" si="0"/>
        <v>0</v>
      </c>
      <c r="H32" s="7">
        <f t="shared" si="0"/>
        <v>0</v>
      </c>
      <c r="I32" s="7">
        <f t="shared" si="0"/>
        <v>0</v>
      </c>
      <c r="J32" s="7">
        <f t="shared" si="0"/>
        <v>-1</v>
      </c>
      <c r="K32" s="7">
        <f t="shared" si="0"/>
        <v>0</v>
      </c>
      <c r="L32" s="7">
        <f t="shared" si="0"/>
        <v>-1</v>
      </c>
    </row>
  </sheetData>
  <pageMargins left="0.7" right="0.7" top="0.75" bottom="0.75" header="0.3" footer="0.3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 codeName="Ark47"/>
  <dimension ref="A1:L32"/>
  <sheetViews>
    <sheetView workbookViewId="0">
      <selection activeCell="A3" sqref="A3:L30"/>
    </sheetView>
  </sheetViews>
  <sheetFormatPr defaultRowHeight="14.5" x14ac:dyDescent="0.35"/>
  <cols>
    <col min="1" max="1" width="30" customWidth="1"/>
    <col min="2" max="2" width="11.54296875" customWidth="1"/>
    <col min="3" max="3" width="12" customWidth="1"/>
    <col min="4" max="4" width="14.54296875" customWidth="1"/>
    <col min="5" max="5" width="14.1796875" customWidth="1"/>
    <col min="8" max="8" width="22.81640625" customWidth="1"/>
    <col min="9" max="9" width="21.81640625" customWidth="1"/>
    <col min="10" max="10" width="13.81640625" customWidth="1"/>
    <col min="11" max="11" width="12.26953125" customWidth="1"/>
    <col min="12" max="12" width="11.81640625" customWidth="1"/>
  </cols>
  <sheetData>
    <row r="1" spans="1:12" x14ac:dyDescent="0.35">
      <c r="B1" t="s">
        <v>214</v>
      </c>
      <c r="C1" t="s">
        <v>2</v>
      </c>
      <c r="D1" t="s">
        <v>215</v>
      </c>
      <c r="E1" t="s">
        <v>216</v>
      </c>
      <c r="F1" t="s">
        <v>5</v>
      </c>
      <c r="G1" t="s">
        <v>6</v>
      </c>
      <c r="H1" t="s">
        <v>217</v>
      </c>
      <c r="I1" t="s">
        <v>8</v>
      </c>
      <c r="J1" t="s">
        <v>9</v>
      </c>
      <c r="K1" t="s">
        <v>10</v>
      </c>
      <c r="L1" t="s">
        <v>218</v>
      </c>
    </row>
    <row r="2" spans="1:12" x14ac:dyDescent="0.35">
      <c r="B2" t="s">
        <v>219</v>
      </c>
      <c r="C2" t="s">
        <v>219</v>
      </c>
      <c r="D2" t="s">
        <v>219</v>
      </c>
      <c r="E2" t="s">
        <v>219</v>
      </c>
      <c r="F2" t="s">
        <v>219</v>
      </c>
      <c r="G2" t="s">
        <v>219</v>
      </c>
      <c r="H2" t="s">
        <v>219</v>
      </c>
      <c r="I2" t="s">
        <v>219</v>
      </c>
      <c r="J2" t="s">
        <v>219</v>
      </c>
      <c r="K2" t="s">
        <v>219</v>
      </c>
      <c r="L2" t="s">
        <v>219</v>
      </c>
    </row>
    <row r="3" spans="1:12" x14ac:dyDescent="0.35">
      <c r="A3" t="s">
        <v>17</v>
      </c>
      <c r="B3" s="7">
        <v>255358</v>
      </c>
      <c r="C3" s="7">
        <v>585299</v>
      </c>
      <c r="D3" s="7"/>
      <c r="E3" s="7">
        <v>665132</v>
      </c>
      <c r="F3" s="7">
        <v>69404</v>
      </c>
      <c r="G3" s="7">
        <v>25864</v>
      </c>
      <c r="H3" s="7">
        <v>475</v>
      </c>
      <c r="I3" s="7">
        <v>16133</v>
      </c>
      <c r="J3" s="7"/>
      <c r="K3" s="7"/>
      <c r="L3" s="7">
        <v>1617666</v>
      </c>
    </row>
    <row r="4" spans="1:12" x14ac:dyDescent="0.35">
      <c r="A4" t="s">
        <v>220</v>
      </c>
      <c r="B4" s="7">
        <v>27253</v>
      </c>
      <c r="C4" s="7">
        <v>64507</v>
      </c>
      <c r="D4" s="7">
        <v>23790</v>
      </c>
      <c r="E4" s="7">
        <v>103047</v>
      </c>
      <c r="F4" s="7"/>
      <c r="G4" s="7"/>
      <c r="H4" s="7"/>
      <c r="I4" s="7">
        <v>65</v>
      </c>
      <c r="J4" s="7">
        <v>6292</v>
      </c>
      <c r="K4" s="7"/>
      <c r="L4" s="7">
        <v>224954</v>
      </c>
    </row>
    <row r="5" spans="1:12" x14ac:dyDescent="0.35">
      <c r="A5" t="s">
        <v>221</v>
      </c>
      <c r="B5" s="7">
        <v>-69147</v>
      </c>
      <c r="C5" s="7">
        <v>-328292</v>
      </c>
      <c r="D5" s="7">
        <v>-124346</v>
      </c>
      <c r="E5" s="7">
        <v>-230114</v>
      </c>
      <c r="F5" s="7"/>
      <c r="G5" s="7"/>
      <c r="H5" s="7"/>
      <c r="I5" s="7">
        <v>-130</v>
      </c>
      <c r="J5" s="7">
        <v>-8121</v>
      </c>
      <c r="K5" s="7"/>
      <c r="L5" s="7">
        <v>-760149</v>
      </c>
    </row>
    <row r="6" spans="1:12" x14ac:dyDescent="0.35">
      <c r="A6" t="s">
        <v>222</v>
      </c>
      <c r="B6" s="7"/>
      <c r="C6" s="7"/>
      <c r="D6" s="7">
        <v>-5008</v>
      </c>
      <c r="E6" s="7"/>
      <c r="F6" s="7"/>
      <c r="G6" s="7"/>
      <c r="H6" s="7"/>
      <c r="I6" s="7"/>
      <c r="J6" s="7"/>
      <c r="K6" s="7"/>
      <c r="L6" s="7">
        <v>-5008</v>
      </c>
    </row>
    <row r="7" spans="1:12" x14ac:dyDescent="0.35">
      <c r="A7" t="s">
        <v>223</v>
      </c>
      <c r="B7" s="7"/>
      <c r="C7" s="7"/>
      <c r="D7" s="7">
        <v>-7660</v>
      </c>
      <c r="E7" s="7"/>
      <c r="F7" s="7"/>
      <c r="G7" s="7"/>
      <c r="H7" s="7"/>
      <c r="I7" s="7"/>
      <c r="J7" s="7"/>
      <c r="K7" s="7"/>
      <c r="L7" s="7">
        <v>-7660</v>
      </c>
    </row>
    <row r="8" spans="1:12" x14ac:dyDescent="0.35">
      <c r="A8" t="s">
        <v>224</v>
      </c>
      <c r="B8" s="7">
        <v>-2279</v>
      </c>
      <c r="C8" s="7">
        <v>627</v>
      </c>
      <c r="D8" s="7">
        <v>338</v>
      </c>
      <c r="E8" s="7">
        <v>-2830</v>
      </c>
      <c r="F8" s="7"/>
      <c r="G8" s="7"/>
      <c r="H8" s="7"/>
      <c r="I8" s="7">
        <v>-80</v>
      </c>
      <c r="J8" s="7"/>
      <c r="K8" s="7"/>
      <c r="L8" s="7">
        <v>-4224</v>
      </c>
    </row>
    <row r="9" spans="1:12" x14ac:dyDescent="0.35">
      <c r="A9" t="s">
        <v>225</v>
      </c>
      <c r="B9" s="7">
        <v>211185</v>
      </c>
      <c r="C9" s="7">
        <v>322142</v>
      </c>
      <c r="D9" s="7">
        <v>-112886</v>
      </c>
      <c r="E9" s="7">
        <v>535236</v>
      </c>
      <c r="F9" s="7">
        <v>69404</v>
      </c>
      <c r="G9" s="7">
        <v>25864</v>
      </c>
      <c r="H9" s="7">
        <v>475</v>
      </c>
      <c r="I9" s="7">
        <v>15987</v>
      </c>
      <c r="J9" s="7">
        <v>-1829</v>
      </c>
      <c r="K9" s="7"/>
      <c r="L9" s="7">
        <v>1065578</v>
      </c>
    </row>
    <row r="10" spans="1:12" x14ac:dyDescent="0.35">
      <c r="A10" t="s">
        <v>226</v>
      </c>
      <c r="B10" s="7"/>
      <c r="C10" s="7">
        <v>-768</v>
      </c>
      <c r="D10" s="7">
        <v>916</v>
      </c>
      <c r="E10" s="7"/>
      <c r="F10" s="7"/>
      <c r="G10" s="7"/>
      <c r="H10" s="7"/>
      <c r="I10" s="7"/>
      <c r="J10" s="7"/>
      <c r="K10" s="7"/>
      <c r="L10" s="7">
        <v>148</v>
      </c>
    </row>
    <row r="11" spans="1:12" x14ac:dyDescent="0.35">
      <c r="A11" t="s">
        <v>227</v>
      </c>
      <c r="B11" s="7">
        <v>-2613</v>
      </c>
      <c r="C11" s="7">
        <v>-316</v>
      </c>
      <c r="D11" s="7">
        <v>600</v>
      </c>
      <c r="E11" s="7">
        <v>79</v>
      </c>
      <c r="F11" s="7"/>
      <c r="G11" s="7"/>
      <c r="H11" s="7"/>
      <c r="I11" s="7">
        <v>7</v>
      </c>
      <c r="J11" s="7">
        <v>5</v>
      </c>
      <c r="K11" s="7">
        <v>4</v>
      </c>
      <c r="L11" s="7">
        <v>-2233</v>
      </c>
    </row>
    <row r="12" spans="1:12" x14ac:dyDescent="0.35">
      <c r="A12" t="s">
        <v>228</v>
      </c>
      <c r="B12" s="7">
        <v>-29079</v>
      </c>
      <c r="C12" s="7">
        <v>-49</v>
      </c>
      <c r="D12" s="7">
        <v>-3374</v>
      </c>
      <c r="E12" s="7">
        <v>-14884</v>
      </c>
      <c r="F12" s="7">
        <v>-69081</v>
      </c>
      <c r="G12" s="7">
        <v>-25864</v>
      </c>
      <c r="H12" s="7">
        <v>-358</v>
      </c>
      <c r="I12" s="7">
        <v>-4</v>
      </c>
      <c r="J12" s="7">
        <v>63510</v>
      </c>
      <c r="K12" s="7"/>
      <c r="L12" s="7">
        <v>-79183</v>
      </c>
    </row>
    <row r="13" spans="1:12" x14ac:dyDescent="0.35">
      <c r="A13" t="s">
        <v>66</v>
      </c>
      <c r="B13" s="7">
        <v>-89619</v>
      </c>
      <c r="C13" s="7">
        <v>-4</v>
      </c>
      <c r="D13" s="7">
        <v>-11807</v>
      </c>
      <c r="E13" s="7">
        <v>-176306</v>
      </c>
      <c r="F13" s="7">
        <v>-323</v>
      </c>
      <c r="G13" s="7"/>
      <c r="H13" s="7"/>
      <c r="I13" s="7">
        <v>-1733</v>
      </c>
      <c r="J13" s="7">
        <v>70808</v>
      </c>
      <c r="K13" s="7">
        <v>88374</v>
      </c>
      <c r="L13" s="7">
        <v>-120610</v>
      </c>
    </row>
    <row r="14" spans="1:12" x14ac:dyDescent="0.35">
      <c r="A14" t="s">
        <v>229</v>
      </c>
      <c r="B14" s="7">
        <v>-16715</v>
      </c>
      <c r="C14" s="7">
        <v>-762</v>
      </c>
      <c r="D14" s="7">
        <v>-9294</v>
      </c>
      <c r="E14" s="7">
        <v>-84570</v>
      </c>
      <c r="F14" s="7"/>
      <c r="G14" s="7"/>
      <c r="H14" s="7">
        <v>-1</v>
      </c>
      <c r="I14" s="7">
        <v>-2745</v>
      </c>
      <c r="J14" s="7"/>
      <c r="K14" s="7">
        <v>103390</v>
      </c>
      <c r="L14" s="7">
        <v>-10697</v>
      </c>
    </row>
    <row r="15" spans="1:12" x14ac:dyDescent="0.35">
      <c r="A15" t="s">
        <v>230</v>
      </c>
      <c r="B15" s="7">
        <v>12</v>
      </c>
      <c r="C15" s="7"/>
      <c r="D15" s="7">
        <v>-13</v>
      </c>
      <c r="E15" s="7"/>
      <c r="F15" s="7"/>
      <c r="G15" s="7"/>
      <c r="H15" s="7"/>
      <c r="I15" s="7"/>
      <c r="J15" s="7"/>
      <c r="K15" s="7"/>
      <c r="L15" s="7">
        <v>-1</v>
      </c>
    </row>
    <row r="16" spans="1:12" x14ac:dyDescent="0.35">
      <c r="A16" t="s">
        <v>70</v>
      </c>
      <c r="B16" s="7"/>
      <c r="C16" s="7">
        <v>-316964</v>
      </c>
      <c r="D16" s="7">
        <v>311336</v>
      </c>
      <c r="E16" s="7"/>
      <c r="F16" s="7"/>
      <c r="G16" s="7"/>
      <c r="H16" s="7"/>
      <c r="I16" s="7"/>
      <c r="J16" s="7"/>
      <c r="K16" s="7"/>
      <c r="L16" s="7">
        <v>-5628</v>
      </c>
    </row>
    <row r="17" spans="1:12" x14ac:dyDescent="0.35">
      <c r="A17" t="s">
        <v>231</v>
      </c>
      <c r="B17" s="7">
        <v>-31936</v>
      </c>
      <c r="C17" s="7"/>
      <c r="D17" s="7">
        <v>-2</v>
      </c>
      <c r="E17" s="7"/>
      <c r="F17" s="7"/>
      <c r="G17" s="7"/>
      <c r="H17" s="7"/>
      <c r="I17" s="7">
        <v>-5</v>
      </c>
      <c r="J17" s="7"/>
      <c r="K17" s="7"/>
      <c r="L17" s="7">
        <v>-31942</v>
      </c>
    </row>
    <row r="18" spans="1:12" x14ac:dyDescent="0.35">
      <c r="A18" t="s">
        <v>232</v>
      </c>
      <c r="B18" s="7"/>
      <c r="C18" s="7"/>
      <c r="D18" s="7"/>
      <c r="E18" s="7">
        <v>-20</v>
      </c>
      <c r="F18" s="7"/>
      <c r="G18" s="7"/>
      <c r="H18" s="7"/>
      <c r="I18" s="7"/>
      <c r="J18" s="7"/>
      <c r="K18" s="7"/>
      <c r="L18" s="7">
        <v>-20</v>
      </c>
    </row>
    <row r="19" spans="1:12" x14ac:dyDescent="0.35">
      <c r="A19" t="s">
        <v>233</v>
      </c>
      <c r="B19" s="7">
        <v>-49</v>
      </c>
      <c r="C19" s="7">
        <v>375</v>
      </c>
      <c r="D19" s="7">
        <v>-1247</v>
      </c>
      <c r="E19" s="7">
        <v>-2075</v>
      </c>
      <c r="F19" s="7"/>
      <c r="G19" s="7"/>
      <c r="H19" s="7"/>
      <c r="I19" s="7">
        <v>-43</v>
      </c>
      <c r="J19" s="7"/>
      <c r="K19" s="7"/>
      <c r="L19" s="7">
        <v>-3039</v>
      </c>
    </row>
    <row r="20" spans="1:12" x14ac:dyDescent="0.35">
      <c r="A20" t="s">
        <v>234</v>
      </c>
      <c r="B20" s="7">
        <v>-3723</v>
      </c>
      <c r="C20" s="7">
        <v>-367</v>
      </c>
      <c r="D20" s="7">
        <v>-17914</v>
      </c>
      <c r="E20" s="7">
        <v>-26623</v>
      </c>
      <c r="F20" s="7"/>
      <c r="G20" s="7"/>
      <c r="H20" s="7"/>
      <c r="I20" s="7">
        <v>-279</v>
      </c>
      <c r="J20" s="7">
        <v>-21064</v>
      </c>
      <c r="K20" s="7">
        <v>-17812</v>
      </c>
      <c r="L20" s="7">
        <v>-87782</v>
      </c>
    </row>
    <row r="21" spans="1:12" x14ac:dyDescent="0.35">
      <c r="A21" t="s">
        <v>235</v>
      </c>
      <c r="B21" s="7">
        <v>-1058</v>
      </c>
      <c r="C21" s="7">
        <v>-3101</v>
      </c>
      <c r="D21" s="7">
        <v>-193</v>
      </c>
      <c r="E21" s="7">
        <v>-10283</v>
      </c>
      <c r="F21" s="7"/>
      <c r="G21" s="7"/>
      <c r="H21" s="7">
        <v>-1</v>
      </c>
      <c r="I21" s="7"/>
      <c r="J21" s="7">
        <v>-17087</v>
      </c>
      <c r="K21" s="7">
        <v>-19008</v>
      </c>
      <c r="L21" s="7">
        <v>-50730</v>
      </c>
    </row>
    <row r="22" spans="1:12" x14ac:dyDescent="0.35">
      <c r="A22" t="s">
        <v>131</v>
      </c>
      <c r="B22" s="7">
        <v>36406</v>
      </c>
      <c r="C22" s="7">
        <v>186</v>
      </c>
      <c r="D22" s="7">
        <v>156123</v>
      </c>
      <c r="E22" s="7">
        <v>220553</v>
      </c>
      <c r="F22" s="7"/>
      <c r="G22" s="7"/>
      <c r="H22" s="7">
        <v>115</v>
      </c>
      <c r="I22" s="7">
        <v>11185</v>
      </c>
      <c r="J22" s="7">
        <v>94344</v>
      </c>
      <c r="K22" s="7">
        <v>154948</v>
      </c>
      <c r="L22" s="7">
        <v>673859</v>
      </c>
    </row>
    <row r="23" spans="1:12" x14ac:dyDescent="0.35">
      <c r="A23" t="s">
        <v>80</v>
      </c>
      <c r="B23" s="7">
        <v>24768</v>
      </c>
      <c r="C23" s="7">
        <v>38</v>
      </c>
      <c r="D23" s="7">
        <v>19236</v>
      </c>
      <c r="E23" s="7">
        <v>57484</v>
      </c>
      <c r="F23" s="7"/>
      <c r="G23" s="7"/>
      <c r="H23" s="7">
        <v>1</v>
      </c>
      <c r="I23" s="7">
        <v>1165</v>
      </c>
      <c r="J23" s="7">
        <v>46204</v>
      </c>
      <c r="K23" s="7">
        <v>61403</v>
      </c>
      <c r="L23" s="7">
        <v>210297</v>
      </c>
    </row>
    <row r="24" spans="1:12" x14ac:dyDescent="0.35">
      <c r="A24" t="s">
        <v>82</v>
      </c>
      <c r="B24" s="7">
        <v>60</v>
      </c>
      <c r="C24" s="7">
        <v>19</v>
      </c>
      <c r="D24" s="7">
        <v>81303</v>
      </c>
      <c r="E24" s="7">
        <v>40825</v>
      </c>
      <c r="F24" s="7"/>
      <c r="G24" s="7"/>
      <c r="H24" s="7"/>
      <c r="I24" s="7">
        <v>1</v>
      </c>
      <c r="J24" s="7">
        <v>8901</v>
      </c>
      <c r="K24" s="7"/>
      <c r="L24" s="7">
        <v>131109</v>
      </c>
    </row>
    <row r="25" spans="1:12" x14ac:dyDescent="0.35">
      <c r="A25" t="s">
        <v>86</v>
      </c>
      <c r="B25" s="7">
        <v>4277</v>
      </c>
      <c r="C25" s="7"/>
      <c r="D25" s="7">
        <v>9246</v>
      </c>
      <c r="E25" s="7">
        <v>74883</v>
      </c>
      <c r="F25" s="7"/>
      <c r="G25" s="7"/>
      <c r="H25" s="7">
        <v>53</v>
      </c>
      <c r="I25" s="7">
        <v>8387</v>
      </c>
      <c r="J25" s="7">
        <v>20072</v>
      </c>
      <c r="K25" s="7">
        <v>65792</v>
      </c>
      <c r="L25" s="7">
        <v>182711</v>
      </c>
    </row>
    <row r="26" spans="1:12" x14ac:dyDescent="0.35">
      <c r="A26" t="s">
        <v>88</v>
      </c>
      <c r="B26" s="7">
        <v>2907</v>
      </c>
      <c r="C26" s="7">
        <v>31</v>
      </c>
      <c r="D26" s="7">
        <v>1776</v>
      </c>
      <c r="E26" s="7">
        <v>12420</v>
      </c>
      <c r="F26" s="7"/>
      <c r="G26" s="7"/>
      <c r="H26" s="7">
        <v>53</v>
      </c>
      <c r="I26" s="7">
        <v>839</v>
      </c>
      <c r="J26" s="7">
        <v>14610</v>
      </c>
      <c r="K26" s="7">
        <v>19482</v>
      </c>
      <c r="L26" s="7">
        <v>52119</v>
      </c>
    </row>
    <row r="27" spans="1:12" x14ac:dyDescent="0.35">
      <c r="A27" t="s">
        <v>90</v>
      </c>
      <c r="B27" s="7">
        <v>1102</v>
      </c>
      <c r="C27" s="7">
        <v>7</v>
      </c>
      <c r="D27" s="7">
        <v>8313</v>
      </c>
      <c r="E27" s="7">
        <v>1014</v>
      </c>
      <c r="F27" s="7"/>
      <c r="G27" s="7"/>
      <c r="H27" s="7">
        <v>8</v>
      </c>
      <c r="I27" s="7">
        <v>365</v>
      </c>
      <c r="J27" s="7">
        <v>4029</v>
      </c>
      <c r="K27" s="7">
        <v>3435</v>
      </c>
      <c r="L27" s="7">
        <v>18273</v>
      </c>
    </row>
    <row r="28" spans="1:12" x14ac:dyDescent="0.35">
      <c r="A28" t="s">
        <v>92</v>
      </c>
      <c r="B28" s="7"/>
      <c r="C28" s="7"/>
      <c r="D28" s="7">
        <v>646</v>
      </c>
      <c r="E28" s="7"/>
      <c r="F28" s="7"/>
      <c r="G28" s="7"/>
      <c r="H28" s="7"/>
      <c r="I28" s="7"/>
      <c r="J28" s="7">
        <v>25</v>
      </c>
      <c r="K28" s="7">
        <v>12</v>
      </c>
      <c r="L28" s="7">
        <v>684</v>
      </c>
    </row>
    <row r="29" spans="1:12" x14ac:dyDescent="0.35">
      <c r="A29" t="s">
        <v>94</v>
      </c>
      <c r="B29" s="7">
        <v>707</v>
      </c>
      <c r="C29" s="7"/>
      <c r="D29" s="7">
        <v>4719</v>
      </c>
      <c r="E29" s="7">
        <v>3336</v>
      </c>
      <c r="F29" s="7"/>
      <c r="G29" s="7"/>
      <c r="H29" s="7">
        <v>1</v>
      </c>
      <c r="I29" s="7">
        <v>428</v>
      </c>
      <c r="J29" s="7">
        <v>502</v>
      </c>
      <c r="K29" s="7">
        <v>4826</v>
      </c>
      <c r="L29" s="7">
        <v>14518</v>
      </c>
    </row>
    <row r="30" spans="1:12" x14ac:dyDescent="0.35">
      <c r="A30" t="s">
        <v>236</v>
      </c>
      <c r="B30" s="7">
        <v>2584</v>
      </c>
      <c r="C30" s="7">
        <v>90</v>
      </c>
      <c r="D30" s="7">
        <v>30884</v>
      </c>
      <c r="E30" s="7">
        <v>30590</v>
      </c>
      <c r="F30" s="7"/>
      <c r="G30" s="7"/>
      <c r="H30" s="7"/>
      <c r="I30" s="7"/>
      <c r="J30" s="7"/>
      <c r="K30" s="7"/>
      <c r="L30" s="7">
        <v>64148</v>
      </c>
    </row>
    <row r="32" spans="1:12" x14ac:dyDescent="0.35">
      <c r="B32" s="7">
        <f>SUM(B9,B10:B21,B22*-1)</f>
        <v>-1</v>
      </c>
      <c r="C32" s="7">
        <f t="shared" ref="C32:L32" si="0">SUM(C9,C10:C21,C22*-1)</f>
        <v>0</v>
      </c>
      <c r="D32" s="7">
        <f t="shared" si="0"/>
        <v>-1</v>
      </c>
      <c r="E32" s="7">
        <f t="shared" si="0"/>
        <v>1</v>
      </c>
      <c r="F32" s="7">
        <f t="shared" si="0"/>
        <v>0</v>
      </c>
      <c r="G32" s="7">
        <f t="shared" si="0"/>
        <v>0</v>
      </c>
      <c r="H32" s="7">
        <f t="shared" si="0"/>
        <v>0</v>
      </c>
      <c r="I32" s="7">
        <f t="shared" si="0"/>
        <v>0</v>
      </c>
      <c r="J32" s="7">
        <f t="shared" si="0"/>
        <v>-1</v>
      </c>
      <c r="K32" s="7">
        <f t="shared" si="0"/>
        <v>0</v>
      </c>
      <c r="L32" s="7">
        <f t="shared" si="0"/>
        <v>2</v>
      </c>
    </row>
  </sheetData>
  <pageMargins left="0.7" right="0.7" top="0.75" bottom="0.75" header="0.3" footer="0.3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 codeName="Ark48"/>
  <dimension ref="A1:L32"/>
  <sheetViews>
    <sheetView workbookViewId="0">
      <selection activeCell="A3" sqref="A3:L30"/>
    </sheetView>
  </sheetViews>
  <sheetFormatPr defaultRowHeight="14.5" x14ac:dyDescent="0.35"/>
  <cols>
    <col min="1" max="1" width="30" customWidth="1"/>
    <col min="2" max="2" width="11.54296875" customWidth="1"/>
    <col min="3" max="3" width="12" customWidth="1"/>
    <col min="4" max="4" width="14.54296875" customWidth="1"/>
    <col min="5" max="5" width="14.1796875" customWidth="1"/>
    <col min="8" max="8" width="22.81640625" customWidth="1"/>
    <col min="9" max="9" width="21.81640625" customWidth="1"/>
    <col min="10" max="10" width="13.81640625" customWidth="1"/>
    <col min="11" max="11" width="12.26953125" customWidth="1"/>
    <col min="12" max="12" width="11.81640625" customWidth="1"/>
  </cols>
  <sheetData>
    <row r="1" spans="1:12" x14ac:dyDescent="0.35">
      <c r="B1" t="s">
        <v>214</v>
      </c>
      <c r="C1" t="s">
        <v>2</v>
      </c>
      <c r="D1" t="s">
        <v>215</v>
      </c>
      <c r="E1" t="s">
        <v>216</v>
      </c>
      <c r="F1" t="s">
        <v>5</v>
      </c>
      <c r="G1" t="s">
        <v>6</v>
      </c>
      <c r="H1" t="s">
        <v>217</v>
      </c>
      <c r="I1" t="s">
        <v>8</v>
      </c>
      <c r="J1" t="s">
        <v>9</v>
      </c>
      <c r="K1" t="s">
        <v>10</v>
      </c>
      <c r="L1" t="s">
        <v>218</v>
      </c>
    </row>
    <row r="2" spans="1:12" x14ac:dyDescent="0.35">
      <c r="B2" t="s">
        <v>219</v>
      </c>
      <c r="C2" t="s">
        <v>219</v>
      </c>
      <c r="D2" t="s">
        <v>219</v>
      </c>
      <c r="E2" t="s">
        <v>219</v>
      </c>
      <c r="F2" t="s">
        <v>219</v>
      </c>
      <c r="G2" t="s">
        <v>219</v>
      </c>
      <c r="H2" t="s">
        <v>219</v>
      </c>
      <c r="I2" t="s">
        <v>219</v>
      </c>
      <c r="J2" t="s">
        <v>219</v>
      </c>
      <c r="K2" t="s">
        <v>219</v>
      </c>
      <c r="L2" t="s">
        <v>219</v>
      </c>
    </row>
    <row r="3" spans="1:12" x14ac:dyDescent="0.35">
      <c r="A3" t="s">
        <v>17</v>
      </c>
      <c r="B3" s="7">
        <v>275611</v>
      </c>
      <c r="C3" s="7">
        <v>667156</v>
      </c>
      <c r="D3" s="7"/>
      <c r="E3" s="7">
        <v>696195</v>
      </c>
      <c r="F3" s="7">
        <v>75691</v>
      </c>
      <c r="G3" s="7">
        <v>26315</v>
      </c>
      <c r="H3" s="7">
        <v>749</v>
      </c>
      <c r="I3" s="7">
        <v>19543</v>
      </c>
      <c r="J3" s="7"/>
      <c r="K3" s="7">
        <v>55</v>
      </c>
      <c r="L3" s="7">
        <v>1761315</v>
      </c>
    </row>
    <row r="4" spans="1:12" x14ac:dyDescent="0.35">
      <c r="A4" t="s">
        <v>220</v>
      </c>
      <c r="B4" s="7">
        <v>30023</v>
      </c>
      <c r="C4" s="7">
        <v>50375</v>
      </c>
      <c r="D4" s="7">
        <v>35227</v>
      </c>
      <c r="E4" s="7">
        <v>65673</v>
      </c>
      <c r="F4" s="7"/>
      <c r="G4" s="7"/>
      <c r="H4" s="7"/>
      <c r="I4" s="7">
        <v>217</v>
      </c>
      <c r="J4" s="7">
        <v>4133</v>
      </c>
      <c r="K4" s="7"/>
      <c r="L4" s="7">
        <v>185648</v>
      </c>
    </row>
    <row r="5" spans="1:12" x14ac:dyDescent="0.35">
      <c r="A5" t="s">
        <v>221</v>
      </c>
      <c r="B5" s="7">
        <v>-105325</v>
      </c>
      <c r="C5" s="7">
        <v>-365961</v>
      </c>
      <c r="D5" s="7">
        <v>-149854</v>
      </c>
      <c r="E5" s="7">
        <v>-195137</v>
      </c>
      <c r="F5" s="7"/>
      <c r="G5" s="7"/>
      <c r="H5" s="7"/>
      <c r="I5" s="7">
        <v>-298</v>
      </c>
      <c r="J5" s="7">
        <v>-7152</v>
      </c>
      <c r="K5" s="7"/>
      <c r="L5" s="7">
        <v>-823727</v>
      </c>
    </row>
    <row r="6" spans="1:12" x14ac:dyDescent="0.35">
      <c r="A6" t="s">
        <v>222</v>
      </c>
      <c r="B6" s="7"/>
      <c r="C6" s="7"/>
      <c r="D6" s="7">
        <v>-7476</v>
      </c>
      <c r="E6" s="7"/>
      <c r="F6" s="7"/>
      <c r="G6" s="7"/>
      <c r="H6" s="7"/>
      <c r="I6" s="7"/>
      <c r="J6" s="7"/>
      <c r="K6" s="7"/>
      <c r="L6" s="7">
        <v>-7476</v>
      </c>
    </row>
    <row r="7" spans="1:12" x14ac:dyDescent="0.35">
      <c r="A7" t="s">
        <v>223</v>
      </c>
      <c r="B7" s="7"/>
      <c r="C7" s="7"/>
      <c r="D7" s="7">
        <v>-8957</v>
      </c>
      <c r="E7" s="7"/>
      <c r="F7" s="7"/>
      <c r="G7" s="7"/>
      <c r="H7" s="7"/>
      <c r="I7" s="7"/>
      <c r="J7" s="7"/>
      <c r="K7" s="7"/>
      <c r="L7" s="7">
        <v>-8957</v>
      </c>
    </row>
    <row r="8" spans="1:12" x14ac:dyDescent="0.35">
      <c r="A8" t="s">
        <v>224</v>
      </c>
      <c r="B8" s="7">
        <v>6250</v>
      </c>
      <c r="C8" s="7">
        <v>-3130</v>
      </c>
      <c r="D8" s="7">
        <v>-1562</v>
      </c>
      <c r="E8" s="7">
        <v>3587</v>
      </c>
      <c r="F8" s="7"/>
      <c r="G8" s="7"/>
      <c r="H8" s="7"/>
      <c r="I8" s="7">
        <v>31</v>
      </c>
      <c r="J8" s="7"/>
      <c r="K8" s="7"/>
      <c r="L8" s="7">
        <v>5176</v>
      </c>
    </row>
    <row r="9" spans="1:12" x14ac:dyDescent="0.35">
      <c r="A9" t="s">
        <v>225</v>
      </c>
      <c r="B9" s="7">
        <v>206560</v>
      </c>
      <c r="C9" s="7">
        <v>348441</v>
      </c>
      <c r="D9" s="7">
        <v>-132622</v>
      </c>
      <c r="E9" s="7">
        <v>570318</v>
      </c>
      <c r="F9" s="7">
        <v>75691</v>
      </c>
      <c r="G9" s="7">
        <v>26315</v>
      </c>
      <c r="H9" s="7">
        <v>749</v>
      </c>
      <c r="I9" s="7">
        <v>19492</v>
      </c>
      <c r="J9" s="7">
        <v>-3020</v>
      </c>
      <c r="K9" s="7">
        <v>55</v>
      </c>
      <c r="L9" s="7">
        <v>1111980</v>
      </c>
    </row>
    <row r="10" spans="1:12" x14ac:dyDescent="0.35">
      <c r="A10" t="s">
        <v>226</v>
      </c>
      <c r="B10" s="7"/>
      <c r="C10" s="7">
        <v>-1083</v>
      </c>
      <c r="D10" s="7">
        <v>1141</v>
      </c>
      <c r="E10" s="7"/>
      <c r="F10" s="7"/>
      <c r="G10" s="7"/>
      <c r="H10" s="7"/>
      <c r="I10" s="7"/>
      <c r="J10" s="7"/>
      <c r="K10" s="7"/>
      <c r="L10" s="7">
        <v>58</v>
      </c>
    </row>
    <row r="11" spans="1:12" x14ac:dyDescent="0.35">
      <c r="A11" t="s">
        <v>227</v>
      </c>
      <c r="B11" s="7">
        <v>6849</v>
      </c>
      <c r="C11" s="7">
        <v>-58</v>
      </c>
      <c r="D11" s="7">
        <v>386</v>
      </c>
      <c r="E11" s="7">
        <v>-5677</v>
      </c>
      <c r="F11" s="7"/>
      <c r="G11" s="7"/>
      <c r="H11" s="7"/>
      <c r="I11" s="7">
        <v>-14</v>
      </c>
      <c r="J11" s="7">
        <v>553</v>
      </c>
      <c r="K11" s="7">
        <v>-1373</v>
      </c>
      <c r="L11" s="7">
        <v>667</v>
      </c>
    </row>
    <row r="12" spans="1:12" x14ac:dyDescent="0.35">
      <c r="A12" t="s">
        <v>228</v>
      </c>
      <c r="B12" s="7">
        <v>-35794</v>
      </c>
      <c r="C12" s="7"/>
      <c r="D12" s="7">
        <v>-2989</v>
      </c>
      <c r="E12" s="7">
        <v>-16640</v>
      </c>
      <c r="F12" s="7">
        <v>-75166</v>
      </c>
      <c r="G12" s="7">
        <v>-26315</v>
      </c>
      <c r="H12" s="7">
        <v>-537</v>
      </c>
      <c r="I12" s="7">
        <v>-48</v>
      </c>
      <c r="J12" s="7">
        <v>69208</v>
      </c>
      <c r="K12" s="7">
        <v>-5</v>
      </c>
      <c r="L12" s="7">
        <v>-88285</v>
      </c>
    </row>
    <row r="13" spans="1:12" x14ac:dyDescent="0.35">
      <c r="A13" t="s">
        <v>66</v>
      </c>
      <c r="B13" s="7">
        <v>-85326</v>
      </c>
      <c r="C13" s="7">
        <v>-11</v>
      </c>
      <c r="D13" s="7">
        <v>-4399</v>
      </c>
      <c r="E13" s="7">
        <v>-189677</v>
      </c>
      <c r="F13" s="7">
        <v>-525</v>
      </c>
      <c r="G13" s="7"/>
      <c r="H13" s="7"/>
      <c r="I13" s="7">
        <v>-2358</v>
      </c>
      <c r="J13" s="7">
        <v>75992</v>
      </c>
      <c r="K13" s="7">
        <v>88848</v>
      </c>
      <c r="L13" s="7">
        <v>-117456</v>
      </c>
    </row>
    <row r="14" spans="1:12" x14ac:dyDescent="0.35">
      <c r="A14" t="s">
        <v>229</v>
      </c>
      <c r="B14" s="7">
        <v>-14978</v>
      </c>
      <c r="C14" s="7">
        <v>-776</v>
      </c>
      <c r="D14" s="7">
        <v>-7411</v>
      </c>
      <c r="E14" s="7">
        <v>-77567</v>
      </c>
      <c r="F14" s="7"/>
      <c r="G14" s="7"/>
      <c r="H14" s="7"/>
      <c r="I14" s="7">
        <v>-3200</v>
      </c>
      <c r="J14" s="7"/>
      <c r="K14" s="7">
        <v>95069</v>
      </c>
      <c r="L14" s="7">
        <v>-8862</v>
      </c>
    </row>
    <row r="15" spans="1:12" x14ac:dyDescent="0.35">
      <c r="A15" t="s">
        <v>230</v>
      </c>
      <c r="B15" s="7">
        <v>-32</v>
      </c>
      <c r="C15" s="7"/>
      <c r="D15" s="7"/>
      <c r="E15" s="7">
        <v>-4</v>
      </c>
      <c r="F15" s="7"/>
      <c r="G15" s="7"/>
      <c r="H15" s="7"/>
      <c r="I15" s="7"/>
      <c r="J15" s="7"/>
      <c r="K15" s="7"/>
      <c r="L15" s="7">
        <v>-37</v>
      </c>
    </row>
    <row r="16" spans="1:12" x14ac:dyDescent="0.35">
      <c r="A16" t="s">
        <v>70</v>
      </c>
      <c r="B16" s="7"/>
      <c r="C16" s="7">
        <v>-340484</v>
      </c>
      <c r="D16" s="7">
        <v>337698</v>
      </c>
      <c r="E16" s="7"/>
      <c r="F16" s="7"/>
      <c r="G16" s="7"/>
      <c r="H16" s="7"/>
      <c r="I16" s="7"/>
      <c r="J16" s="7"/>
      <c r="K16" s="7"/>
      <c r="L16" s="7">
        <v>-2786</v>
      </c>
    </row>
    <row r="17" spans="1:12" x14ac:dyDescent="0.35">
      <c r="A17" t="s">
        <v>231</v>
      </c>
      <c r="B17" s="7">
        <v>-29142</v>
      </c>
      <c r="C17" s="7"/>
      <c r="D17" s="7"/>
      <c r="E17" s="7"/>
      <c r="F17" s="7"/>
      <c r="G17" s="7"/>
      <c r="H17" s="7"/>
      <c r="I17" s="7">
        <v>-7</v>
      </c>
      <c r="J17" s="7"/>
      <c r="K17" s="7"/>
      <c r="L17" s="7">
        <v>-29149</v>
      </c>
    </row>
    <row r="18" spans="1:12" x14ac:dyDescent="0.35">
      <c r="A18" t="s">
        <v>232</v>
      </c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</row>
    <row r="19" spans="1:12" x14ac:dyDescent="0.35">
      <c r="A19" t="s">
        <v>233</v>
      </c>
      <c r="B19" s="7">
        <v>-57</v>
      </c>
      <c r="C19" s="7">
        <v>764</v>
      </c>
      <c r="D19" s="7">
        <v>-609</v>
      </c>
      <c r="E19" s="7">
        <v>-1780</v>
      </c>
      <c r="F19" s="7"/>
      <c r="G19" s="7"/>
      <c r="H19" s="7"/>
      <c r="I19" s="7">
        <v>-198</v>
      </c>
      <c r="J19" s="7"/>
      <c r="K19" s="7"/>
      <c r="L19" s="7">
        <v>-1879</v>
      </c>
    </row>
    <row r="20" spans="1:12" x14ac:dyDescent="0.35">
      <c r="A20" t="s">
        <v>234</v>
      </c>
      <c r="B20" s="7">
        <v>-5138</v>
      </c>
      <c r="C20" s="7">
        <v>-729</v>
      </c>
      <c r="D20" s="7">
        <v>-17590</v>
      </c>
      <c r="E20" s="7">
        <v>-35857</v>
      </c>
      <c r="F20" s="7"/>
      <c r="G20" s="7"/>
      <c r="H20" s="7">
        <v>-1</v>
      </c>
      <c r="I20" s="7">
        <v>-157</v>
      </c>
      <c r="J20" s="7">
        <v>-24193</v>
      </c>
      <c r="K20" s="7">
        <v>-21642</v>
      </c>
      <c r="L20" s="7">
        <v>-105307</v>
      </c>
    </row>
    <row r="21" spans="1:12" x14ac:dyDescent="0.35">
      <c r="A21" t="s">
        <v>235</v>
      </c>
      <c r="B21" s="7">
        <v>-1603</v>
      </c>
      <c r="C21" s="7">
        <v>-5516</v>
      </c>
      <c r="D21" s="7">
        <v>-63</v>
      </c>
      <c r="E21" s="7">
        <v>-10409</v>
      </c>
      <c r="F21" s="7"/>
      <c r="G21" s="7"/>
      <c r="H21" s="7">
        <v>-2</v>
      </c>
      <c r="I21" s="7"/>
      <c r="J21" s="7">
        <v>-15918</v>
      </c>
      <c r="K21" s="7">
        <v>-14222</v>
      </c>
      <c r="L21" s="7">
        <v>-47734</v>
      </c>
    </row>
    <row r="22" spans="1:12" x14ac:dyDescent="0.35">
      <c r="A22" t="s">
        <v>131</v>
      </c>
      <c r="B22" s="7">
        <v>41340</v>
      </c>
      <c r="C22" s="7">
        <v>549</v>
      </c>
      <c r="D22" s="7">
        <v>173543</v>
      </c>
      <c r="E22" s="7">
        <v>232706</v>
      </c>
      <c r="F22" s="7"/>
      <c r="G22" s="7"/>
      <c r="H22" s="7">
        <v>210</v>
      </c>
      <c r="I22" s="7">
        <v>13511</v>
      </c>
      <c r="J22" s="7">
        <v>102622</v>
      </c>
      <c r="K22" s="7">
        <v>146730</v>
      </c>
      <c r="L22" s="7">
        <v>711211</v>
      </c>
    </row>
    <row r="23" spans="1:12" x14ac:dyDescent="0.35">
      <c r="A23" t="s">
        <v>80</v>
      </c>
      <c r="B23" s="7">
        <v>29727</v>
      </c>
      <c r="C23" s="7">
        <v>437</v>
      </c>
      <c r="D23" s="7">
        <v>17062</v>
      </c>
      <c r="E23" s="7">
        <v>55601</v>
      </c>
      <c r="F23" s="7"/>
      <c r="G23" s="7"/>
      <c r="H23" s="7">
        <v>3</v>
      </c>
      <c r="I23" s="7">
        <v>1039</v>
      </c>
      <c r="J23" s="7">
        <v>45513</v>
      </c>
      <c r="K23" s="7">
        <v>55184</v>
      </c>
      <c r="L23" s="7">
        <v>204566</v>
      </c>
    </row>
    <row r="24" spans="1:12" x14ac:dyDescent="0.35">
      <c r="A24" t="s">
        <v>82</v>
      </c>
      <c r="B24" s="7">
        <v>37</v>
      </c>
      <c r="C24" s="7"/>
      <c r="D24" s="7">
        <v>96257</v>
      </c>
      <c r="E24" s="7">
        <v>39382</v>
      </c>
      <c r="F24" s="7"/>
      <c r="G24" s="7"/>
      <c r="H24" s="7"/>
      <c r="I24" s="7">
        <v>159</v>
      </c>
      <c r="J24" s="7">
        <v>8959</v>
      </c>
      <c r="K24" s="7"/>
      <c r="L24" s="7">
        <v>144794</v>
      </c>
    </row>
    <row r="25" spans="1:12" x14ac:dyDescent="0.35">
      <c r="A25" t="s">
        <v>86</v>
      </c>
      <c r="B25" s="7">
        <v>4079</v>
      </c>
      <c r="C25" s="7"/>
      <c r="D25" s="7">
        <v>6978</v>
      </c>
      <c r="E25" s="7">
        <v>79688</v>
      </c>
      <c r="F25" s="7"/>
      <c r="G25" s="7"/>
      <c r="H25" s="7">
        <v>123</v>
      </c>
      <c r="I25" s="7">
        <v>10740</v>
      </c>
      <c r="J25" s="7">
        <v>23517</v>
      </c>
      <c r="K25" s="7">
        <v>64960</v>
      </c>
      <c r="L25" s="7">
        <v>190085</v>
      </c>
    </row>
    <row r="26" spans="1:12" x14ac:dyDescent="0.35">
      <c r="A26" t="s">
        <v>88</v>
      </c>
      <c r="B26" s="7">
        <v>3722</v>
      </c>
      <c r="C26" s="7"/>
      <c r="D26" s="7">
        <v>3138</v>
      </c>
      <c r="E26" s="7">
        <v>14960</v>
      </c>
      <c r="F26" s="7"/>
      <c r="G26" s="7"/>
      <c r="H26" s="7">
        <v>74</v>
      </c>
      <c r="I26" s="7">
        <v>1139</v>
      </c>
      <c r="J26" s="7">
        <v>20809</v>
      </c>
      <c r="K26" s="7">
        <v>19589</v>
      </c>
      <c r="L26" s="7">
        <v>63430</v>
      </c>
    </row>
    <row r="27" spans="1:12" x14ac:dyDescent="0.35">
      <c r="A27" t="s">
        <v>90</v>
      </c>
      <c r="B27" s="7">
        <v>296</v>
      </c>
      <c r="C27" s="7">
        <v>12</v>
      </c>
      <c r="D27" s="7">
        <v>6952</v>
      </c>
      <c r="E27" s="7">
        <v>1132</v>
      </c>
      <c r="F27" s="7"/>
      <c r="G27" s="7"/>
      <c r="H27" s="7">
        <v>11</v>
      </c>
      <c r="I27" s="7">
        <v>268</v>
      </c>
      <c r="J27" s="7">
        <v>3412</v>
      </c>
      <c r="K27" s="7">
        <v>3714</v>
      </c>
      <c r="L27" s="7">
        <v>15797</v>
      </c>
    </row>
    <row r="28" spans="1:12" x14ac:dyDescent="0.35">
      <c r="A28" t="s">
        <v>92</v>
      </c>
      <c r="B28" s="7">
        <v>6</v>
      </c>
      <c r="C28" s="7"/>
      <c r="D28" s="7">
        <v>870</v>
      </c>
      <c r="E28" s="7">
        <v>3</v>
      </c>
      <c r="F28" s="7"/>
      <c r="G28" s="7"/>
      <c r="H28" s="7"/>
      <c r="I28" s="7"/>
      <c r="J28" s="7">
        <v>26</v>
      </c>
      <c r="K28" s="7">
        <v>35</v>
      </c>
      <c r="L28" s="7">
        <v>940</v>
      </c>
    </row>
    <row r="29" spans="1:12" x14ac:dyDescent="0.35">
      <c r="A29" t="s">
        <v>94</v>
      </c>
      <c r="B29" s="7">
        <v>2613</v>
      </c>
      <c r="C29" s="7">
        <v>18</v>
      </c>
      <c r="D29" s="7">
        <v>4218</v>
      </c>
      <c r="E29" s="7">
        <v>819</v>
      </c>
      <c r="F29" s="7"/>
      <c r="G29" s="7"/>
      <c r="H29" s="7"/>
      <c r="I29" s="7">
        <v>167</v>
      </c>
      <c r="J29" s="7">
        <v>388</v>
      </c>
      <c r="K29" s="7">
        <v>3249</v>
      </c>
      <c r="L29" s="7">
        <v>11472</v>
      </c>
    </row>
    <row r="30" spans="1:12" x14ac:dyDescent="0.35">
      <c r="A30" t="s">
        <v>236</v>
      </c>
      <c r="B30" s="7">
        <v>859</v>
      </c>
      <c r="C30" s="7">
        <v>81</v>
      </c>
      <c r="D30" s="7">
        <v>38066</v>
      </c>
      <c r="E30" s="7">
        <v>41121</v>
      </c>
      <c r="F30" s="7"/>
      <c r="G30" s="7"/>
      <c r="H30" s="7"/>
      <c r="I30" s="7"/>
      <c r="J30" s="7"/>
      <c r="K30" s="7"/>
      <c r="L30" s="7">
        <v>80127</v>
      </c>
    </row>
    <row r="32" spans="1:12" x14ac:dyDescent="0.35">
      <c r="B32" s="7">
        <f>SUM(B9,B10:B21,B22*-1)</f>
        <v>-1</v>
      </c>
      <c r="C32" s="7">
        <f t="shared" ref="C32:L32" si="0">SUM(C9,C10:C21,C22*-1)</f>
        <v>-1</v>
      </c>
      <c r="D32" s="7">
        <f t="shared" si="0"/>
        <v>-1</v>
      </c>
      <c r="E32" s="7">
        <f t="shared" si="0"/>
        <v>1</v>
      </c>
      <c r="F32" s="7">
        <f t="shared" si="0"/>
        <v>0</v>
      </c>
      <c r="G32" s="7">
        <f t="shared" si="0"/>
        <v>0</v>
      </c>
      <c r="H32" s="7">
        <f t="shared" si="0"/>
        <v>-1</v>
      </c>
      <c r="I32" s="7">
        <f t="shared" si="0"/>
        <v>-1</v>
      </c>
      <c r="J32" s="7">
        <f t="shared" si="0"/>
        <v>0</v>
      </c>
      <c r="K32" s="7">
        <f t="shared" si="0"/>
        <v>0</v>
      </c>
      <c r="L32" s="7">
        <f t="shared" si="0"/>
        <v>-1</v>
      </c>
    </row>
  </sheetData>
  <pageMargins left="0.7" right="0.7" top="0.75" bottom="0.75" header="0.3" footer="0.3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 codeName="Ark49"/>
  <dimension ref="A1:L32"/>
  <sheetViews>
    <sheetView workbookViewId="0">
      <selection activeCell="A3" sqref="A3:L30"/>
    </sheetView>
  </sheetViews>
  <sheetFormatPr defaultRowHeight="14.5" x14ac:dyDescent="0.35"/>
  <cols>
    <col min="1" max="1" width="30" customWidth="1"/>
    <col min="2" max="2" width="11.54296875" customWidth="1"/>
    <col min="3" max="3" width="12" customWidth="1"/>
    <col min="4" max="4" width="14.54296875" customWidth="1"/>
    <col min="5" max="5" width="14.1796875" customWidth="1"/>
    <col min="8" max="8" width="22.81640625" customWidth="1"/>
    <col min="9" max="9" width="21.81640625" customWidth="1"/>
    <col min="10" max="10" width="13.81640625" customWidth="1"/>
    <col min="11" max="11" width="12.26953125" customWidth="1"/>
    <col min="12" max="12" width="11.81640625" customWidth="1"/>
  </cols>
  <sheetData>
    <row r="1" spans="1:12" x14ac:dyDescent="0.35">
      <c r="B1" t="s">
        <v>214</v>
      </c>
      <c r="C1" t="s">
        <v>2</v>
      </c>
      <c r="D1" t="s">
        <v>215</v>
      </c>
      <c r="E1" t="s">
        <v>216</v>
      </c>
      <c r="F1" t="s">
        <v>5</v>
      </c>
      <c r="G1" t="s">
        <v>6</v>
      </c>
      <c r="H1" t="s">
        <v>217</v>
      </c>
      <c r="I1" t="s">
        <v>8</v>
      </c>
      <c r="J1" t="s">
        <v>9</v>
      </c>
      <c r="K1" t="s">
        <v>10</v>
      </c>
      <c r="L1" t="s">
        <v>218</v>
      </c>
    </row>
    <row r="2" spans="1:12" x14ac:dyDescent="0.35">
      <c r="B2" t="s">
        <v>219</v>
      </c>
      <c r="C2" t="s">
        <v>219</v>
      </c>
      <c r="D2" t="s">
        <v>219</v>
      </c>
      <c r="E2" t="s">
        <v>219</v>
      </c>
      <c r="F2" t="s">
        <v>219</v>
      </c>
      <c r="G2" t="s">
        <v>219</v>
      </c>
      <c r="H2" t="s">
        <v>219</v>
      </c>
      <c r="I2" t="s">
        <v>219</v>
      </c>
      <c r="J2" t="s">
        <v>219</v>
      </c>
      <c r="K2" t="s">
        <v>219</v>
      </c>
      <c r="L2" t="s">
        <v>219</v>
      </c>
    </row>
    <row r="3" spans="1:12" x14ac:dyDescent="0.35">
      <c r="A3" t="s">
        <v>17</v>
      </c>
      <c r="B3" s="7">
        <v>286650</v>
      </c>
      <c r="C3" s="7">
        <v>688436</v>
      </c>
      <c r="D3" s="7"/>
      <c r="E3" s="7">
        <v>702306</v>
      </c>
      <c r="F3" s="7">
        <v>81939</v>
      </c>
      <c r="G3" s="7">
        <v>24437</v>
      </c>
      <c r="H3" s="7">
        <v>1687</v>
      </c>
      <c r="I3" s="7">
        <v>22450</v>
      </c>
      <c r="J3" s="7"/>
      <c r="K3" s="7">
        <v>610</v>
      </c>
      <c r="L3" s="7">
        <v>1808515</v>
      </c>
    </row>
    <row r="4" spans="1:12" x14ac:dyDescent="0.35">
      <c r="A4" t="s">
        <v>220</v>
      </c>
      <c r="B4" s="7">
        <v>30667</v>
      </c>
      <c r="C4" s="7">
        <v>48526</v>
      </c>
      <c r="D4" s="7">
        <v>38213</v>
      </c>
      <c r="E4" s="7">
        <v>52541</v>
      </c>
      <c r="F4" s="7"/>
      <c r="G4" s="7"/>
      <c r="H4" s="7"/>
      <c r="I4" s="7">
        <v>569</v>
      </c>
      <c r="J4" s="7">
        <v>5479</v>
      </c>
      <c r="K4" s="7"/>
      <c r="L4" s="7">
        <v>175995</v>
      </c>
    </row>
    <row r="5" spans="1:12" x14ac:dyDescent="0.35">
      <c r="A5" t="s">
        <v>221</v>
      </c>
      <c r="B5" s="7">
        <v>-113670</v>
      </c>
      <c r="C5" s="7">
        <v>-353508</v>
      </c>
      <c r="D5" s="7">
        <v>-175234</v>
      </c>
      <c r="E5" s="7">
        <v>-246077</v>
      </c>
      <c r="F5" s="7"/>
      <c r="G5" s="7"/>
      <c r="H5" s="7"/>
      <c r="I5" s="7">
        <v>-1517</v>
      </c>
      <c r="J5" s="7">
        <v>-7626</v>
      </c>
      <c r="K5" s="7"/>
      <c r="L5" s="7">
        <v>-897632</v>
      </c>
    </row>
    <row r="6" spans="1:12" x14ac:dyDescent="0.35">
      <c r="A6" t="s">
        <v>222</v>
      </c>
      <c r="B6" s="7"/>
      <c r="C6" s="7"/>
      <c r="D6" s="7">
        <v>-19233</v>
      </c>
      <c r="E6" s="7"/>
      <c r="F6" s="7"/>
      <c r="G6" s="7"/>
      <c r="H6" s="7"/>
      <c r="I6" s="7"/>
      <c r="J6" s="7"/>
      <c r="K6" s="7"/>
      <c r="L6" s="7">
        <v>-19233</v>
      </c>
    </row>
    <row r="7" spans="1:12" x14ac:dyDescent="0.35">
      <c r="A7" t="s">
        <v>223</v>
      </c>
      <c r="B7" s="7"/>
      <c r="C7" s="7"/>
      <c r="D7" s="7">
        <v>-7631</v>
      </c>
      <c r="E7" s="7"/>
      <c r="F7" s="7"/>
      <c r="G7" s="7"/>
      <c r="H7" s="7"/>
      <c r="I7" s="7"/>
      <c r="J7" s="7"/>
      <c r="K7" s="7"/>
      <c r="L7" s="7">
        <v>-7631</v>
      </c>
    </row>
    <row r="8" spans="1:12" x14ac:dyDescent="0.35">
      <c r="A8" t="s">
        <v>224</v>
      </c>
      <c r="B8" s="7">
        <v>1942</v>
      </c>
      <c r="C8" s="7">
        <v>-1751</v>
      </c>
      <c r="D8" s="7">
        <v>1494</v>
      </c>
      <c r="E8" s="7">
        <v>-5203</v>
      </c>
      <c r="F8" s="7"/>
      <c r="G8" s="7"/>
      <c r="H8" s="7"/>
      <c r="I8" s="7">
        <v>23</v>
      </c>
      <c r="J8" s="7"/>
      <c r="K8" s="7"/>
      <c r="L8" s="7">
        <v>-3493</v>
      </c>
    </row>
    <row r="9" spans="1:12" x14ac:dyDescent="0.35">
      <c r="A9" t="s">
        <v>225</v>
      </c>
      <c r="B9" s="7">
        <v>205588</v>
      </c>
      <c r="C9" s="7">
        <v>381703</v>
      </c>
      <c r="D9" s="7">
        <v>-162391</v>
      </c>
      <c r="E9" s="7">
        <v>503567</v>
      </c>
      <c r="F9" s="7">
        <v>81939</v>
      </c>
      <c r="G9" s="7">
        <v>24437</v>
      </c>
      <c r="H9" s="7">
        <v>1687</v>
      </c>
      <c r="I9" s="7">
        <v>21526</v>
      </c>
      <c r="J9" s="7">
        <v>-2146</v>
      </c>
      <c r="K9" s="7">
        <v>610</v>
      </c>
      <c r="L9" s="7">
        <v>1056520</v>
      </c>
    </row>
    <row r="10" spans="1:12" x14ac:dyDescent="0.35">
      <c r="A10" t="s">
        <v>226</v>
      </c>
      <c r="B10" s="7"/>
      <c r="C10" s="7">
        <v>-1792</v>
      </c>
      <c r="D10" s="7">
        <v>1909</v>
      </c>
      <c r="E10" s="7"/>
      <c r="F10" s="7"/>
      <c r="G10" s="7"/>
      <c r="H10" s="7"/>
      <c r="I10" s="7"/>
      <c r="J10" s="7"/>
      <c r="K10" s="7"/>
      <c r="L10" s="7">
        <v>117</v>
      </c>
    </row>
    <row r="11" spans="1:12" x14ac:dyDescent="0.35">
      <c r="A11" t="s">
        <v>227</v>
      </c>
      <c r="B11" s="7">
        <v>2078</v>
      </c>
      <c r="C11" s="7">
        <v>-582</v>
      </c>
      <c r="D11" s="7">
        <v>5690</v>
      </c>
      <c r="E11" s="7">
        <v>4807</v>
      </c>
      <c r="F11" s="7"/>
      <c r="G11" s="7"/>
      <c r="H11" s="7"/>
      <c r="I11" s="7">
        <v>-46</v>
      </c>
      <c r="J11" s="7">
        <v>-786</v>
      </c>
      <c r="K11" s="7">
        <v>601</v>
      </c>
      <c r="L11" s="7">
        <v>11763</v>
      </c>
    </row>
    <row r="12" spans="1:12" x14ac:dyDescent="0.35">
      <c r="A12" t="s">
        <v>228</v>
      </c>
      <c r="B12" s="7">
        <v>-32832</v>
      </c>
      <c r="C12" s="7"/>
      <c r="D12" s="7">
        <v>-2335</v>
      </c>
      <c r="E12" s="7">
        <v>-20693</v>
      </c>
      <c r="F12" s="7">
        <v>-81436</v>
      </c>
      <c r="G12" s="7">
        <v>-24437</v>
      </c>
      <c r="H12" s="7">
        <v>-1453</v>
      </c>
      <c r="I12" s="7">
        <v>-139</v>
      </c>
      <c r="J12" s="7">
        <v>71268</v>
      </c>
      <c r="K12" s="7">
        <v>-191</v>
      </c>
      <c r="L12" s="7">
        <v>-92247</v>
      </c>
    </row>
    <row r="13" spans="1:12" x14ac:dyDescent="0.35">
      <c r="A13" t="s">
        <v>66</v>
      </c>
      <c r="B13" s="7">
        <v>-84816</v>
      </c>
      <c r="C13" s="7">
        <v>-7</v>
      </c>
      <c r="D13" s="7">
        <v>-4471</v>
      </c>
      <c r="E13" s="7">
        <v>-193566</v>
      </c>
      <c r="F13" s="7">
        <v>-503</v>
      </c>
      <c r="G13" s="7"/>
      <c r="H13" s="7"/>
      <c r="I13" s="7">
        <v>-2970</v>
      </c>
      <c r="J13" s="7">
        <v>76551</v>
      </c>
      <c r="K13" s="7">
        <v>89462</v>
      </c>
      <c r="L13" s="7">
        <v>-120320</v>
      </c>
    </row>
    <row r="14" spans="1:12" x14ac:dyDescent="0.35">
      <c r="A14" t="s">
        <v>229</v>
      </c>
      <c r="B14" s="7">
        <v>-11444</v>
      </c>
      <c r="C14" s="7">
        <v>-587</v>
      </c>
      <c r="D14" s="7">
        <v>-5902</v>
      </c>
      <c r="E14" s="7">
        <v>-53783</v>
      </c>
      <c r="F14" s="7"/>
      <c r="G14" s="7"/>
      <c r="H14" s="7">
        <v>-20</v>
      </c>
      <c r="I14" s="7">
        <v>-2934</v>
      </c>
      <c r="J14" s="7"/>
      <c r="K14" s="7">
        <v>67075</v>
      </c>
      <c r="L14" s="7">
        <v>-7595</v>
      </c>
    </row>
    <row r="15" spans="1:12" x14ac:dyDescent="0.35">
      <c r="A15" t="s">
        <v>230</v>
      </c>
      <c r="B15" s="7">
        <v>-31</v>
      </c>
      <c r="C15" s="7">
        <v>-3</v>
      </c>
      <c r="D15" s="7"/>
      <c r="E15" s="7"/>
      <c r="F15" s="7"/>
      <c r="G15" s="7"/>
      <c r="H15" s="7"/>
      <c r="I15" s="7"/>
      <c r="J15" s="7"/>
      <c r="K15" s="7"/>
      <c r="L15" s="7">
        <v>-34</v>
      </c>
    </row>
    <row r="16" spans="1:12" x14ac:dyDescent="0.35">
      <c r="A16" t="s">
        <v>70</v>
      </c>
      <c r="B16" s="7"/>
      <c r="C16" s="7">
        <v>-371458</v>
      </c>
      <c r="D16" s="7">
        <v>369078</v>
      </c>
      <c r="E16" s="7"/>
      <c r="F16" s="7"/>
      <c r="G16" s="7"/>
      <c r="H16" s="7"/>
      <c r="I16" s="7"/>
      <c r="J16" s="7"/>
      <c r="K16" s="7"/>
      <c r="L16" s="7">
        <v>-2380</v>
      </c>
    </row>
    <row r="17" spans="1:12" x14ac:dyDescent="0.35">
      <c r="A17" t="s">
        <v>231</v>
      </c>
      <c r="B17" s="7">
        <v>-26761</v>
      </c>
      <c r="C17" s="7"/>
      <c r="D17" s="7"/>
      <c r="E17" s="7"/>
      <c r="F17" s="7"/>
      <c r="G17" s="7"/>
      <c r="H17" s="7"/>
      <c r="I17" s="7">
        <v>-1</v>
      </c>
      <c r="J17" s="7"/>
      <c r="K17" s="7"/>
      <c r="L17" s="7">
        <v>-26762</v>
      </c>
    </row>
    <row r="18" spans="1:12" x14ac:dyDescent="0.35">
      <c r="A18" t="s">
        <v>232</v>
      </c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</row>
    <row r="19" spans="1:12" x14ac:dyDescent="0.35">
      <c r="A19" t="s">
        <v>233</v>
      </c>
      <c r="B19" s="7">
        <v>-182</v>
      </c>
      <c r="C19" s="7">
        <v>905</v>
      </c>
      <c r="D19" s="7">
        <v>-499</v>
      </c>
      <c r="E19" s="7">
        <v>-2393</v>
      </c>
      <c r="F19" s="7"/>
      <c r="G19" s="7"/>
      <c r="H19" s="7"/>
      <c r="I19" s="7">
        <v>-397</v>
      </c>
      <c r="J19" s="7"/>
      <c r="K19" s="7"/>
      <c r="L19" s="7">
        <v>-2566</v>
      </c>
    </row>
    <row r="20" spans="1:12" x14ac:dyDescent="0.35">
      <c r="A20" t="s">
        <v>234</v>
      </c>
      <c r="B20" s="7">
        <v>-3600</v>
      </c>
      <c r="C20" s="7">
        <v>-1390</v>
      </c>
      <c r="D20" s="7">
        <v>-19153</v>
      </c>
      <c r="E20" s="7">
        <v>-18986</v>
      </c>
      <c r="F20" s="7"/>
      <c r="G20" s="7"/>
      <c r="H20" s="7"/>
      <c r="I20" s="7">
        <v>-310</v>
      </c>
      <c r="J20" s="7">
        <v>-25007</v>
      </c>
      <c r="K20" s="7">
        <v>-17463</v>
      </c>
      <c r="L20" s="7">
        <v>-85908</v>
      </c>
    </row>
    <row r="21" spans="1:12" x14ac:dyDescent="0.35">
      <c r="A21" t="s">
        <v>235</v>
      </c>
      <c r="B21" s="7">
        <v>-739</v>
      </c>
      <c r="C21" s="7">
        <v>-6122</v>
      </c>
      <c r="D21" s="7">
        <v>-36</v>
      </c>
      <c r="E21" s="7">
        <v>-8694</v>
      </c>
      <c r="F21" s="7"/>
      <c r="G21" s="7"/>
      <c r="H21" s="7">
        <v>-3</v>
      </c>
      <c r="I21" s="7">
        <v>-3</v>
      </c>
      <c r="J21" s="7">
        <v>-15294</v>
      </c>
      <c r="K21" s="7">
        <v>-11145</v>
      </c>
      <c r="L21" s="7">
        <v>-42035</v>
      </c>
    </row>
    <row r="22" spans="1:12" x14ac:dyDescent="0.35">
      <c r="A22" t="s">
        <v>131</v>
      </c>
      <c r="B22" s="7">
        <v>47261</v>
      </c>
      <c r="C22" s="7">
        <v>668</v>
      </c>
      <c r="D22" s="7">
        <v>181890</v>
      </c>
      <c r="E22" s="7">
        <v>210261</v>
      </c>
      <c r="F22" s="7"/>
      <c r="G22" s="7"/>
      <c r="H22" s="7">
        <v>211</v>
      </c>
      <c r="I22" s="7">
        <v>14724</v>
      </c>
      <c r="J22" s="7">
        <v>104587</v>
      </c>
      <c r="K22" s="7">
        <v>128949</v>
      </c>
      <c r="L22" s="7">
        <v>688552</v>
      </c>
    </row>
    <row r="23" spans="1:12" x14ac:dyDescent="0.35">
      <c r="A23" t="s">
        <v>80</v>
      </c>
      <c r="B23" s="7">
        <v>37316</v>
      </c>
      <c r="C23" s="7">
        <v>529</v>
      </c>
      <c r="D23" s="7">
        <v>21947</v>
      </c>
      <c r="E23" s="7">
        <v>51252</v>
      </c>
      <c r="F23" s="7"/>
      <c r="G23" s="7"/>
      <c r="H23" s="7">
        <v>1</v>
      </c>
      <c r="I23" s="7">
        <v>1900</v>
      </c>
      <c r="J23" s="7">
        <v>44872</v>
      </c>
      <c r="K23" s="7">
        <v>43623</v>
      </c>
      <c r="L23" s="7">
        <v>201442</v>
      </c>
    </row>
    <row r="24" spans="1:12" x14ac:dyDescent="0.35">
      <c r="A24" t="s">
        <v>82</v>
      </c>
      <c r="B24" s="7">
        <v>13</v>
      </c>
      <c r="C24" s="7">
        <v>3</v>
      </c>
      <c r="D24" s="7">
        <v>99852</v>
      </c>
      <c r="E24" s="7">
        <v>33135</v>
      </c>
      <c r="F24" s="7"/>
      <c r="G24" s="7"/>
      <c r="H24" s="7"/>
      <c r="I24" s="7">
        <v>457</v>
      </c>
      <c r="J24" s="7">
        <v>8388</v>
      </c>
      <c r="K24" s="7"/>
      <c r="L24" s="7">
        <v>141849</v>
      </c>
    </row>
    <row r="25" spans="1:12" x14ac:dyDescent="0.35">
      <c r="A25" t="s">
        <v>86</v>
      </c>
      <c r="B25" s="7">
        <v>6111</v>
      </c>
      <c r="C25" s="7"/>
      <c r="D25" s="7">
        <v>12042</v>
      </c>
      <c r="E25" s="7">
        <v>71820</v>
      </c>
      <c r="F25" s="7"/>
      <c r="G25" s="7"/>
      <c r="H25" s="7">
        <v>97</v>
      </c>
      <c r="I25" s="7">
        <v>10702</v>
      </c>
      <c r="J25" s="7">
        <v>26342</v>
      </c>
      <c r="K25" s="7">
        <v>57523</v>
      </c>
      <c r="L25" s="7">
        <v>184636</v>
      </c>
    </row>
    <row r="26" spans="1:12" x14ac:dyDescent="0.35">
      <c r="A26" t="s">
        <v>88</v>
      </c>
      <c r="B26" s="7">
        <v>2399</v>
      </c>
      <c r="C26" s="7"/>
      <c r="D26" s="7">
        <v>3836</v>
      </c>
      <c r="E26" s="7">
        <v>13595</v>
      </c>
      <c r="F26" s="7"/>
      <c r="G26" s="7"/>
      <c r="H26" s="7">
        <v>100</v>
      </c>
      <c r="I26" s="7">
        <v>1294</v>
      </c>
      <c r="J26" s="7">
        <v>20940</v>
      </c>
      <c r="K26" s="7">
        <v>20966</v>
      </c>
      <c r="L26" s="7">
        <v>63129</v>
      </c>
    </row>
    <row r="27" spans="1:12" x14ac:dyDescent="0.35">
      <c r="A27" t="s">
        <v>90</v>
      </c>
      <c r="B27" s="7">
        <v>231</v>
      </c>
      <c r="C27" s="7">
        <v>10</v>
      </c>
      <c r="D27" s="7">
        <v>7409</v>
      </c>
      <c r="E27" s="7">
        <v>1610</v>
      </c>
      <c r="F27" s="7"/>
      <c r="G27" s="7"/>
      <c r="H27" s="7">
        <v>13</v>
      </c>
      <c r="I27" s="7">
        <v>252</v>
      </c>
      <c r="J27" s="7">
        <v>3626</v>
      </c>
      <c r="K27" s="7">
        <v>2820</v>
      </c>
      <c r="L27" s="7">
        <v>15971</v>
      </c>
    </row>
    <row r="28" spans="1:12" x14ac:dyDescent="0.35">
      <c r="A28" t="s">
        <v>92</v>
      </c>
      <c r="B28" s="7">
        <v>1</v>
      </c>
      <c r="C28" s="7"/>
      <c r="D28" s="7">
        <v>580</v>
      </c>
      <c r="E28" s="7">
        <v>1</v>
      </c>
      <c r="F28" s="7"/>
      <c r="G28" s="7"/>
      <c r="H28" s="7"/>
      <c r="I28" s="7">
        <v>1</v>
      </c>
      <c r="J28" s="7">
        <v>24</v>
      </c>
      <c r="K28" s="7">
        <v>8</v>
      </c>
      <c r="L28" s="7">
        <v>615</v>
      </c>
    </row>
    <row r="29" spans="1:12" x14ac:dyDescent="0.35">
      <c r="A29" t="s">
        <v>94</v>
      </c>
      <c r="B29" s="7">
        <v>536</v>
      </c>
      <c r="C29" s="7">
        <v>58</v>
      </c>
      <c r="D29" s="7">
        <v>4523</v>
      </c>
      <c r="E29" s="7">
        <v>853</v>
      </c>
      <c r="F29" s="7"/>
      <c r="G29" s="7"/>
      <c r="H29" s="7"/>
      <c r="I29" s="7">
        <v>119</v>
      </c>
      <c r="J29" s="7">
        <v>395</v>
      </c>
      <c r="K29" s="7">
        <v>4009</v>
      </c>
      <c r="L29" s="7">
        <v>10492</v>
      </c>
    </row>
    <row r="30" spans="1:12" x14ac:dyDescent="0.35">
      <c r="A30" t="s">
        <v>236</v>
      </c>
      <c r="B30" s="7">
        <v>655</v>
      </c>
      <c r="C30" s="7">
        <v>67</v>
      </c>
      <c r="D30" s="7">
        <v>31700</v>
      </c>
      <c r="E30" s="7">
        <v>37996</v>
      </c>
      <c r="F30" s="7"/>
      <c r="G30" s="7"/>
      <c r="H30" s="7"/>
      <c r="I30" s="7"/>
      <c r="J30" s="7"/>
      <c r="K30" s="7"/>
      <c r="L30" s="7">
        <v>70419</v>
      </c>
    </row>
    <row r="32" spans="1:12" x14ac:dyDescent="0.35">
      <c r="B32" s="7">
        <f>SUM(B9,B10:B21,B22*-1)</f>
        <v>0</v>
      </c>
      <c r="C32" s="7">
        <f t="shared" ref="C32:L32" si="0">SUM(C9,C10:C21,C22*-1)</f>
        <v>-1</v>
      </c>
      <c r="D32" s="7">
        <f t="shared" si="0"/>
        <v>0</v>
      </c>
      <c r="E32" s="7">
        <f t="shared" si="0"/>
        <v>-2</v>
      </c>
      <c r="F32" s="7">
        <f t="shared" si="0"/>
        <v>0</v>
      </c>
      <c r="G32" s="7">
        <f t="shared" si="0"/>
        <v>0</v>
      </c>
      <c r="H32" s="7">
        <f t="shared" si="0"/>
        <v>0</v>
      </c>
      <c r="I32" s="7">
        <f t="shared" si="0"/>
        <v>2</v>
      </c>
      <c r="J32" s="7">
        <f t="shared" si="0"/>
        <v>-1</v>
      </c>
      <c r="K32" s="7">
        <f t="shared" si="0"/>
        <v>0</v>
      </c>
      <c r="L32" s="7">
        <f t="shared" si="0"/>
        <v>1</v>
      </c>
    </row>
  </sheetData>
  <pageMargins left="0.7" right="0.7" top="0.75" bottom="0.75" header="0.3" footer="0.3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 codeName="Ark50"/>
  <dimension ref="A1:L32"/>
  <sheetViews>
    <sheetView workbookViewId="0">
      <selection activeCell="J39" sqref="J39"/>
    </sheetView>
  </sheetViews>
  <sheetFormatPr defaultRowHeight="14.5" x14ac:dyDescent="0.35"/>
  <cols>
    <col min="1" max="1" width="30" customWidth="1"/>
    <col min="2" max="2" width="11.54296875" customWidth="1"/>
    <col min="3" max="3" width="12" customWidth="1"/>
    <col min="4" max="4" width="14.54296875" customWidth="1"/>
    <col min="5" max="5" width="14.1796875" customWidth="1"/>
    <col min="8" max="8" width="22.81640625" customWidth="1"/>
    <col min="9" max="9" width="21.81640625" customWidth="1"/>
    <col min="10" max="10" width="13.81640625" customWidth="1"/>
    <col min="11" max="11" width="12.26953125" customWidth="1"/>
    <col min="12" max="12" width="11.81640625" customWidth="1"/>
  </cols>
  <sheetData>
    <row r="1" spans="1:12" x14ac:dyDescent="0.35">
      <c r="B1" t="s">
        <v>214</v>
      </c>
      <c r="C1" t="s">
        <v>2</v>
      </c>
      <c r="D1" t="s">
        <v>215</v>
      </c>
      <c r="E1" t="s">
        <v>216</v>
      </c>
      <c r="F1" t="s">
        <v>5</v>
      </c>
      <c r="G1" t="s">
        <v>6</v>
      </c>
      <c r="H1" t="s">
        <v>217</v>
      </c>
      <c r="I1" t="s">
        <v>8</v>
      </c>
      <c r="J1" t="s">
        <v>9</v>
      </c>
      <c r="K1" t="s">
        <v>10</v>
      </c>
      <c r="L1" t="s">
        <v>218</v>
      </c>
    </row>
    <row r="2" spans="1:12" x14ac:dyDescent="0.35">
      <c r="B2" t="s">
        <v>219</v>
      </c>
      <c r="C2" t="s">
        <v>219</v>
      </c>
      <c r="D2" t="s">
        <v>219</v>
      </c>
      <c r="E2" t="s">
        <v>219</v>
      </c>
      <c r="F2" t="s">
        <v>219</v>
      </c>
      <c r="G2" t="s">
        <v>219</v>
      </c>
      <c r="H2" t="s">
        <v>219</v>
      </c>
      <c r="I2" t="s">
        <v>219</v>
      </c>
      <c r="J2" t="s">
        <v>219</v>
      </c>
      <c r="K2" t="s">
        <v>219</v>
      </c>
      <c r="L2" t="s">
        <v>219</v>
      </c>
    </row>
    <row r="3" spans="1:12" x14ac:dyDescent="0.35">
      <c r="A3" t="s">
        <v>17</v>
      </c>
      <c r="B3" s="7">
        <v>329785</v>
      </c>
      <c r="C3" s="7">
        <v>715656</v>
      </c>
      <c r="D3" s="7"/>
      <c r="E3" s="7">
        <v>801921</v>
      </c>
      <c r="F3" s="7">
        <v>83474</v>
      </c>
      <c r="G3" s="7">
        <v>27989</v>
      </c>
      <c r="H3" s="7">
        <v>1902</v>
      </c>
      <c r="I3" s="7">
        <v>26139</v>
      </c>
      <c r="J3" s="7"/>
      <c r="K3" s="7">
        <v>578</v>
      </c>
      <c r="L3" s="7">
        <v>1987442</v>
      </c>
    </row>
    <row r="4" spans="1:12" x14ac:dyDescent="0.35">
      <c r="A4" t="s">
        <v>220</v>
      </c>
      <c r="B4" s="7">
        <v>37665</v>
      </c>
      <c r="C4" s="7">
        <v>44722</v>
      </c>
      <c r="D4" s="7">
        <v>41260</v>
      </c>
      <c r="E4" s="7">
        <v>56997</v>
      </c>
      <c r="F4" s="7"/>
      <c r="G4" s="7"/>
      <c r="H4" s="7"/>
      <c r="I4" s="7">
        <v>771</v>
      </c>
      <c r="J4" s="7">
        <v>4224</v>
      </c>
      <c r="K4" s="7"/>
      <c r="L4" s="7">
        <v>185638</v>
      </c>
    </row>
    <row r="5" spans="1:12" x14ac:dyDescent="0.35">
      <c r="A5" t="s">
        <v>221</v>
      </c>
      <c r="B5" s="7">
        <v>-146693</v>
      </c>
      <c r="C5" s="7">
        <v>-369684</v>
      </c>
      <c r="D5" s="7">
        <v>-165095</v>
      </c>
      <c r="E5" s="7">
        <v>-292458</v>
      </c>
      <c r="F5" s="7"/>
      <c r="G5" s="7"/>
      <c r="H5" s="7"/>
      <c r="I5" s="7">
        <v>-1593</v>
      </c>
      <c r="J5" s="7">
        <v>-7544</v>
      </c>
      <c r="K5" s="7"/>
      <c r="L5" s="7">
        <v>-983066</v>
      </c>
    </row>
    <row r="6" spans="1:12" x14ac:dyDescent="0.35">
      <c r="A6" t="s">
        <v>222</v>
      </c>
      <c r="B6" s="7"/>
      <c r="C6" s="7"/>
      <c r="D6" s="7">
        <v>-18473</v>
      </c>
      <c r="E6" s="7"/>
      <c r="F6" s="7"/>
      <c r="G6" s="7"/>
      <c r="H6" s="7"/>
      <c r="I6" s="7"/>
      <c r="J6" s="7"/>
      <c r="K6" s="7"/>
      <c r="L6" s="7">
        <v>-18473</v>
      </c>
    </row>
    <row r="7" spans="1:12" x14ac:dyDescent="0.35">
      <c r="A7" t="s">
        <v>223</v>
      </c>
      <c r="B7" s="7"/>
      <c r="C7" s="7"/>
      <c r="D7" s="7">
        <v>-8859</v>
      </c>
      <c r="E7" s="7"/>
      <c r="F7" s="7"/>
      <c r="G7" s="7"/>
      <c r="H7" s="7"/>
      <c r="I7" s="7"/>
      <c r="J7" s="7"/>
      <c r="K7" s="7"/>
      <c r="L7" s="7">
        <v>-8859</v>
      </c>
    </row>
    <row r="8" spans="1:12" x14ac:dyDescent="0.35">
      <c r="A8" t="s">
        <v>224</v>
      </c>
      <c r="B8" s="7">
        <v>-4229</v>
      </c>
      <c r="C8" s="7">
        <v>-2002</v>
      </c>
      <c r="D8" s="7">
        <v>38</v>
      </c>
      <c r="E8" s="7">
        <v>2793</v>
      </c>
      <c r="F8" s="7"/>
      <c r="G8" s="7"/>
      <c r="H8" s="7"/>
      <c r="I8" s="7">
        <v>-124</v>
      </c>
      <c r="J8" s="7"/>
      <c r="K8" s="7"/>
      <c r="L8" s="7">
        <v>-3523</v>
      </c>
    </row>
    <row r="9" spans="1:12" x14ac:dyDescent="0.35">
      <c r="A9" t="s">
        <v>225</v>
      </c>
      <c r="B9" s="7">
        <v>216528</v>
      </c>
      <c r="C9" s="7">
        <v>388693</v>
      </c>
      <c r="D9" s="7">
        <v>-151128</v>
      </c>
      <c r="E9" s="7">
        <v>569252</v>
      </c>
      <c r="F9" s="7">
        <v>83474</v>
      </c>
      <c r="G9" s="7">
        <v>27989</v>
      </c>
      <c r="H9" s="7">
        <v>1902</v>
      </c>
      <c r="I9" s="7">
        <v>25194</v>
      </c>
      <c r="J9" s="7">
        <v>-3320</v>
      </c>
      <c r="K9" s="7">
        <v>578</v>
      </c>
      <c r="L9" s="7">
        <v>1159160</v>
      </c>
    </row>
    <row r="10" spans="1:12" x14ac:dyDescent="0.35">
      <c r="A10" t="s">
        <v>226</v>
      </c>
      <c r="B10" s="7"/>
      <c r="C10" s="7">
        <v>-1958</v>
      </c>
      <c r="D10" s="7">
        <v>2093</v>
      </c>
      <c r="E10" s="7"/>
      <c r="F10" s="7"/>
      <c r="G10" s="7"/>
      <c r="H10" s="7"/>
      <c r="I10" s="7"/>
      <c r="J10" s="7"/>
      <c r="K10" s="7"/>
      <c r="L10" s="7">
        <v>134</v>
      </c>
    </row>
    <row r="11" spans="1:12" x14ac:dyDescent="0.35">
      <c r="A11" t="s">
        <v>227</v>
      </c>
      <c r="B11" s="7">
        <v>-9430</v>
      </c>
      <c r="C11" s="7">
        <v>-2802</v>
      </c>
      <c r="D11" s="7">
        <v>514</v>
      </c>
      <c r="E11" s="7">
        <v>-9586</v>
      </c>
      <c r="F11" s="7"/>
      <c r="G11" s="7"/>
      <c r="H11" s="7"/>
      <c r="I11" s="7">
        <v>70</v>
      </c>
      <c r="J11" s="7">
        <v>-236</v>
      </c>
      <c r="K11" s="7">
        <v>164</v>
      </c>
      <c r="L11" s="7">
        <v>-21307</v>
      </c>
    </row>
    <row r="12" spans="1:12" x14ac:dyDescent="0.35">
      <c r="A12" t="s">
        <v>228</v>
      </c>
      <c r="B12" s="7">
        <v>-30365</v>
      </c>
      <c r="C12" s="7"/>
      <c r="D12" s="7">
        <v>-2419</v>
      </c>
      <c r="E12" s="7">
        <v>-21619</v>
      </c>
      <c r="F12" s="7">
        <v>-82967</v>
      </c>
      <c r="G12" s="7">
        <v>-27989</v>
      </c>
      <c r="H12" s="7">
        <v>-1651</v>
      </c>
      <c r="I12" s="7">
        <v>-356</v>
      </c>
      <c r="J12" s="7">
        <v>75617</v>
      </c>
      <c r="K12" s="7">
        <v>-139</v>
      </c>
      <c r="L12" s="7">
        <v>-91886</v>
      </c>
    </row>
    <row r="13" spans="1:12" x14ac:dyDescent="0.35">
      <c r="A13" t="s">
        <v>66</v>
      </c>
      <c r="B13" s="7">
        <v>-84702</v>
      </c>
      <c r="C13" s="7">
        <v>-21</v>
      </c>
      <c r="D13" s="7">
        <v>-3150</v>
      </c>
      <c r="E13" s="7">
        <v>-190708</v>
      </c>
      <c r="F13" s="7">
        <v>-506</v>
      </c>
      <c r="G13" s="7"/>
      <c r="H13" s="7"/>
      <c r="I13" s="7">
        <v>-3318</v>
      </c>
      <c r="J13" s="7">
        <v>79218</v>
      </c>
      <c r="K13" s="7">
        <v>93446</v>
      </c>
      <c r="L13" s="7">
        <v>-109741</v>
      </c>
    </row>
    <row r="14" spans="1:12" x14ac:dyDescent="0.35">
      <c r="A14" t="s">
        <v>229</v>
      </c>
      <c r="B14" s="7">
        <v>-12112</v>
      </c>
      <c r="C14" s="7">
        <v>-473</v>
      </c>
      <c r="D14" s="7">
        <v>-4558</v>
      </c>
      <c r="E14" s="7">
        <v>-51459</v>
      </c>
      <c r="F14" s="7"/>
      <c r="G14" s="7"/>
      <c r="H14" s="7">
        <v>-14</v>
      </c>
      <c r="I14" s="7">
        <v>-3508</v>
      </c>
      <c r="J14" s="7">
        <v>-336</v>
      </c>
      <c r="K14" s="7">
        <v>70225</v>
      </c>
      <c r="L14" s="7">
        <v>-2235</v>
      </c>
    </row>
    <row r="15" spans="1:12" x14ac:dyDescent="0.35">
      <c r="A15" t="s">
        <v>230</v>
      </c>
      <c r="B15" s="7">
        <v>-37</v>
      </c>
      <c r="C15" s="7"/>
      <c r="D15" s="7"/>
      <c r="E15" s="7"/>
      <c r="F15" s="7"/>
      <c r="G15" s="7"/>
      <c r="H15" s="7"/>
      <c r="I15" s="7"/>
      <c r="J15" s="7"/>
      <c r="K15" s="7"/>
      <c r="L15" s="7">
        <v>-37</v>
      </c>
    </row>
    <row r="16" spans="1:12" x14ac:dyDescent="0.35">
      <c r="A16" t="s">
        <v>70</v>
      </c>
      <c r="B16" s="7"/>
      <c r="C16" s="7">
        <v>-375546</v>
      </c>
      <c r="D16" s="7">
        <v>364369</v>
      </c>
      <c r="E16" s="7"/>
      <c r="F16" s="7"/>
      <c r="G16" s="7"/>
      <c r="H16" s="7"/>
      <c r="I16" s="7"/>
      <c r="J16" s="7"/>
      <c r="K16" s="7"/>
      <c r="L16" s="7">
        <v>-11176</v>
      </c>
    </row>
    <row r="17" spans="1:12" x14ac:dyDescent="0.35">
      <c r="A17" t="s">
        <v>231</v>
      </c>
      <c r="B17" s="7">
        <v>-25825</v>
      </c>
      <c r="C17" s="7"/>
      <c r="D17" s="7"/>
      <c r="E17" s="7"/>
      <c r="F17" s="7"/>
      <c r="G17" s="7"/>
      <c r="H17" s="7"/>
      <c r="I17" s="7">
        <v>-2</v>
      </c>
      <c r="J17" s="7"/>
      <c r="K17" s="7"/>
      <c r="L17" s="7">
        <v>-25826</v>
      </c>
    </row>
    <row r="18" spans="1:12" x14ac:dyDescent="0.35">
      <c r="A18" t="s">
        <v>232</v>
      </c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</row>
    <row r="19" spans="1:12" x14ac:dyDescent="0.35">
      <c r="A19" t="s">
        <v>233</v>
      </c>
      <c r="B19" s="7">
        <v>-119</v>
      </c>
      <c r="C19" s="7">
        <v>758</v>
      </c>
      <c r="D19" s="7">
        <v>-263</v>
      </c>
      <c r="E19" s="7">
        <v>-3520</v>
      </c>
      <c r="F19" s="7"/>
      <c r="G19" s="7"/>
      <c r="H19" s="7"/>
      <c r="I19" s="7">
        <v>-489</v>
      </c>
      <c r="J19" s="7"/>
      <c r="K19" s="7"/>
      <c r="L19" s="7">
        <v>-3634</v>
      </c>
    </row>
    <row r="20" spans="1:12" x14ac:dyDescent="0.35">
      <c r="A20" t="s">
        <v>234</v>
      </c>
      <c r="B20" s="7">
        <v>-3516</v>
      </c>
      <c r="C20" s="7">
        <v>-2092</v>
      </c>
      <c r="D20" s="7">
        <v>-8117</v>
      </c>
      <c r="E20" s="7">
        <v>-26752</v>
      </c>
      <c r="F20" s="7"/>
      <c r="G20" s="7"/>
      <c r="H20" s="7"/>
      <c r="I20" s="7">
        <v>-193</v>
      </c>
      <c r="J20" s="7">
        <v>-26383</v>
      </c>
      <c r="K20" s="7">
        <v>-16981</v>
      </c>
      <c r="L20" s="7">
        <v>-84033</v>
      </c>
    </row>
    <row r="21" spans="1:12" x14ac:dyDescent="0.35">
      <c r="A21" t="s">
        <v>235</v>
      </c>
      <c r="B21" s="7">
        <v>-883</v>
      </c>
      <c r="C21" s="7">
        <v>-6513</v>
      </c>
      <c r="D21" s="7">
        <v>-16</v>
      </c>
      <c r="E21" s="7">
        <v>-9090</v>
      </c>
      <c r="F21" s="7"/>
      <c r="G21" s="7"/>
      <c r="H21" s="7">
        <v>-3</v>
      </c>
      <c r="I21" s="7"/>
      <c r="J21" s="7">
        <v>-14544</v>
      </c>
      <c r="K21" s="7">
        <v>-13402</v>
      </c>
      <c r="L21" s="7">
        <v>-44452</v>
      </c>
    </row>
    <row r="22" spans="1:12" x14ac:dyDescent="0.35">
      <c r="A22" t="s">
        <v>131</v>
      </c>
      <c r="B22" s="7">
        <v>49540</v>
      </c>
      <c r="C22" s="7">
        <v>46</v>
      </c>
      <c r="D22" s="7">
        <v>197324</v>
      </c>
      <c r="E22" s="7">
        <v>256518</v>
      </c>
      <c r="F22" s="7"/>
      <c r="G22" s="7"/>
      <c r="H22" s="7">
        <v>234</v>
      </c>
      <c r="I22" s="7">
        <v>17398</v>
      </c>
      <c r="J22" s="7">
        <v>110017</v>
      </c>
      <c r="K22" s="7">
        <v>133890</v>
      </c>
      <c r="L22" s="7">
        <v>764967</v>
      </c>
    </row>
    <row r="23" spans="1:12" x14ac:dyDescent="0.35">
      <c r="A23" t="s">
        <v>80</v>
      </c>
      <c r="B23" s="7">
        <v>38363</v>
      </c>
      <c r="C23" s="7">
        <v>30</v>
      </c>
      <c r="D23" s="7">
        <v>14509</v>
      </c>
      <c r="E23" s="7">
        <v>54587</v>
      </c>
      <c r="F23" s="7"/>
      <c r="G23" s="7"/>
      <c r="H23" s="7">
        <v>2</v>
      </c>
      <c r="I23" s="7">
        <v>2831</v>
      </c>
      <c r="J23" s="7">
        <v>46961</v>
      </c>
      <c r="K23" s="7">
        <v>45029</v>
      </c>
      <c r="L23" s="7">
        <v>202311</v>
      </c>
    </row>
    <row r="24" spans="1:12" x14ac:dyDescent="0.35">
      <c r="A24" t="s">
        <v>82</v>
      </c>
      <c r="B24" s="7">
        <v>16</v>
      </c>
      <c r="C24" s="7">
        <v>2</v>
      </c>
      <c r="D24" s="7">
        <v>106785</v>
      </c>
      <c r="E24" s="7">
        <v>39979</v>
      </c>
      <c r="F24" s="7"/>
      <c r="G24" s="7"/>
      <c r="H24" s="7"/>
      <c r="I24" s="7">
        <v>655</v>
      </c>
      <c r="J24" s="7">
        <v>8461</v>
      </c>
      <c r="K24" s="7"/>
      <c r="L24" s="7">
        <v>155898</v>
      </c>
    </row>
    <row r="25" spans="1:12" x14ac:dyDescent="0.35">
      <c r="A25" t="s">
        <v>86</v>
      </c>
      <c r="B25" s="7">
        <v>8179</v>
      </c>
      <c r="C25" s="7"/>
      <c r="D25" s="7">
        <v>18549</v>
      </c>
      <c r="E25" s="7">
        <v>96363</v>
      </c>
      <c r="F25" s="7"/>
      <c r="G25" s="7"/>
      <c r="H25" s="7">
        <v>108</v>
      </c>
      <c r="I25" s="7">
        <v>11999</v>
      </c>
      <c r="J25" s="7">
        <v>28338</v>
      </c>
      <c r="K25" s="7">
        <v>58635</v>
      </c>
      <c r="L25" s="7">
        <v>222171</v>
      </c>
    </row>
    <row r="26" spans="1:12" x14ac:dyDescent="0.35">
      <c r="A26" t="s">
        <v>88</v>
      </c>
      <c r="B26" s="7">
        <v>1708</v>
      </c>
      <c r="C26" s="7"/>
      <c r="D26" s="7">
        <v>3704</v>
      </c>
      <c r="E26" s="7">
        <v>15055</v>
      </c>
      <c r="F26" s="7"/>
      <c r="G26" s="7"/>
      <c r="H26" s="7">
        <v>112</v>
      </c>
      <c r="I26" s="7">
        <v>1655</v>
      </c>
      <c r="J26" s="7">
        <v>21271</v>
      </c>
      <c r="K26" s="7">
        <v>24246</v>
      </c>
      <c r="L26" s="7">
        <v>67752</v>
      </c>
    </row>
    <row r="27" spans="1:12" x14ac:dyDescent="0.35">
      <c r="A27" t="s">
        <v>90</v>
      </c>
      <c r="B27" s="7">
        <v>197</v>
      </c>
      <c r="C27" s="7">
        <v>2</v>
      </c>
      <c r="D27" s="7">
        <v>6640</v>
      </c>
      <c r="E27" s="7">
        <v>1916</v>
      </c>
      <c r="F27" s="7"/>
      <c r="G27" s="7"/>
      <c r="H27" s="7">
        <v>11</v>
      </c>
      <c r="I27" s="7">
        <v>240</v>
      </c>
      <c r="J27" s="7">
        <v>4525</v>
      </c>
      <c r="K27" s="7">
        <v>4201</v>
      </c>
      <c r="L27" s="7">
        <v>17733</v>
      </c>
    </row>
    <row r="28" spans="1:12" x14ac:dyDescent="0.35">
      <c r="A28" t="s">
        <v>92</v>
      </c>
      <c r="B28" s="7">
        <v>1</v>
      </c>
      <c r="C28" s="7"/>
      <c r="D28" s="7">
        <v>795</v>
      </c>
      <c r="E28" s="7">
        <v>2</v>
      </c>
      <c r="F28" s="7"/>
      <c r="G28" s="7"/>
      <c r="H28" s="7"/>
      <c r="I28" s="7"/>
      <c r="J28" s="7">
        <v>33</v>
      </c>
      <c r="K28" s="7">
        <v>14</v>
      </c>
      <c r="L28" s="7">
        <v>845</v>
      </c>
    </row>
    <row r="29" spans="1:12" x14ac:dyDescent="0.35">
      <c r="A29" t="s">
        <v>94</v>
      </c>
      <c r="B29" s="7">
        <v>278</v>
      </c>
      <c r="C29" s="7">
        <v>3</v>
      </c>
      <c r="D29" s="7">
        <v>4133</v>
      </c>
      <c r="E29" s="7">
        <v>969</v>
      </c>
      <c r="F29" s="7"/>
      <c r="G29" s="7"/>
      <c r="H29" s="7"/>
      <c r="I29" s="7">
        <v>17</v>
      </c>
      <c r="J29" s="7">
        <v>427</v>
      </c>
      <c r="K29" s="7">
        <v>1765</v>
      </c>
      <c r="L29" s="7">
        <v>7592</v>
      </c>
    </row>
    <row r="30" spans="1:12" x14ac:dyDescent="0.35">
      <c r="A30" t="s">
        <v>236</v>
      </c>
      <c r="B30" s="7">
        <v>799</v>
      </c>
      <c r="C30" s="7">
        <v>9</v>
      </c>
      <c r="D30" s="7">
        <v>42209</v>
      </c>
      <c r="E30" s="7">
        <v>47648</v>
      </c>
      <c r="F30" s="7"/>
      <c r="G30" s="7"/>
      <c r="H30" s="7"/>
      <c r="I30" s="7"/>
      <c r="J30" s="7"/>
      <c r="K30" s="7"/>
      <c r="L30" s="7">
        <v>90664</v>
      </c>
    </row>
    <row r="32" spans="1:12" x14ac:dyDescent="0.35">
      <c r="B32" s="7">
        <f>SUM(B9,B10:B21,B22*-1)</f>
        <v>-1</v>
      </c>
      <c r="C32" s="7">
        <f t="shared" ref="C32:L32" si="0">SUM(C9,C10:C21,C22*-1)</f>
        <v>0</v>
      </c>
      <c r="D32" s="7">
        <f t="shared" si="0"/>
        <v>1</v>
      </c>
      <c r="E32" s="7">
        <f t="shared" si="0"/>
        <v>0</v>
      </c>
      <c r="F32" s="7">
        <f t="shared" si="0"/>
        <v>1</v>
      </c>
      <c r="G32" s="7">
        <f t="shared" si="0"/>
        <v>0</v>
      </c>
      <c r="H32" s="7">
        <f t="shared" si="0"/>
        <v>0</v>
      </c>
      <c r="I32" s="7">
        <f t="shared" si="0"/>
        <v>0</v>
      </c>
      <c r="J32" s="7">
        <f t="shared" si="0"/>
        <v>-1</v>
      </c>
      <c r="K32" s="7">
        <f t="shared" si="0"/>
        <v>1</v>
      </c>
      <c r="L32" s="7">
        <f t="shared" si="0"/>
        <v>0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54F1D3-E8A1-4B06-AF8D-C700230C459E}">
  <sheetPr>
    <tabColor theme="9" tint="0.39997558519241921"/>
  </sheetPr>
  <dimension ref="A1:Y60"/>
  <sheetViews>
    <sheetView tabSelected="1" topLeftCell="A6" workbookViewId="0">
      <selection activeCell="E7" sqref="E7"/>
    </sheetView>
  </sheetViews>
  <sheetFormatPr defaultRowHeight="14.5" x14ac:dyDescent="0.35"/>
  <cols>
    <col min="1" max="1" width="44.26953125" bestFit="1" customWidth="1"/>
    <col min="2" max="6" width="14.26953125" customWidth="1"/>
  </cols>
  <sheetData>
    <row r="1" spans="1:9" ht="28.5" customHeight="1" x14ac:dyDescent="0.45">
      <c r="A1" s="118" t="s">
        <v>194</v>
      </c>
      <c r="B1" s="118"/>
      <c r="C1" s="118"/>
      <c r="D1" s="118"/>
      <c r="E1" s="118"/>
      <c r="F1" s="118"/>
    </row>
    <row r="2" spans="1:9" x14ac:dyDescent="0.35">
      <c r="A2" s="114" t="s">
        <v>195</v>
      </c>
      <c r="B2" s="114">
        <v>2018</v>
      </c>
      <c r="C2" s="114">
        <v>2030</v>
      </c>
      <c r="D2" s="114">
        <v>2050</v>
      </c>
      <c r="E2" s="114">
        <v>2075</v>
      </c>
      <c r="F2" s="114">
        <v>2100</v>
      </c>
      <c r="H2" s="103"/>
      <c r="I2" t="s">
        <v>196</v>
      </c>
    </row>
    <row r="3" spans="1:9" x14ac:dyDescent="0.35">
      <c r="A3" s="114"/>
      <c r="B3" s="114"/>
      <c r="C3" s="114"/>
      <c r="D3" s="114"/>
      <c r="E3" s="114"/>
      <c r="F3" s="114"/>
    </row>
    <row r="4" spans="1:9" ht="16.5" x14ac:dyDescent="0.45">
      <c r="A4" s="106" t="s">
        <v>197</v>
      </c>
      <c r="B4" s="76">
        <f>'KF World'!G1</f>
        <v>32995.279034752006</v>
      </c>
      <c r="C4" s="76">
        <f>'KF World'!H1</f>
        <v>32958.210013345437</v>
      </c>
      <c r="D4" s="76">
        <f>'KF World'!I1</f>
        <v>29285.412617542657</v>
      </c>
      <c r="E4" s="107">
        <f>D4</f>
        <v>29285.412617542657</v>
      </c>
      <c r="F4" s="107">
        <f>D4</f>
        <v>29285.412617542657</v>
      </c>
    </row>
    <row r="6" spans="1:9" ht="16.5" x14ac:dyDescent="0.45">
      <c r="A6" t="s">
        <v>198</v>
      </c>
      <c r="B6" s="105">
        <v>0.74</v>
      </c>
      <c r="C6" s="105">
        <v>0.74</v>
      </c>
      <c r="D6" s="105">
        <v>0.74</v>
      </c>
      <c r="E6" s="105">
        <v>0.5</v>
      </c>
      <c r="F6" s="105">
        <v>0.74</v>
      </c>
    </row>
    <row r="8" spans="1:9" ht="16.5" x14ac:dyDescent="0.45">
      <c r="A8" t="s">
        <v>199</v>
      </c>
      <c r="B8" s="75">
        <f>'KF World - Temperature'!B42</f>
        <v>44588.214911827039</v>
      </c>
      <c r="C8" s="75">
        <f>'KF World - Temperature'!C42</f>
        <v>44538.121639655998</v>
      </c>
      <c r="D8" s="75">
        <f>'KF World - Temperature'!D42</f>
        <v>39574.881915598184</v>
      </c>
      <c r="E8" s="75">
        <f>'KF World - Temperature'!E42</f>
        <v>58570.825235085314</v>
      </c>
      <c r="F8" s="75">
        <f>'KF World - Temperature'!F42</f>
        <v>39574.881915598184</v>
      </c>
    </row>
    <row r="37" spans="1:20" x14ac:dyDescent="0.35">
      <c r="A37" s="102" t="s">
        <v>200</v>
      </c>
      <c r="B37" s="102"/>
      <c r="C37" s="102"/>
      <c r="D37" s="102"/>
      <c r="E37" s="102"/>
      <c r="F37" s="102"/>
      <c r="G37" s="102"/>
      <c r="H37" s="102"/>
      <c r="I37" s="102"/>
    </row>
    <row r="38" spans="1:20" x14ac:dyDescent="0.35">
      <c r="A38" s="30" t="s">
        <v>195</v>
      </c>
      <c r="B38">
        <v>2018</v>
      </c>
      <c r="C38">
        <v>2030</v>
      </c>
      <c r="D38">
        <v>2050</v>
      </c>
      <c r="E38">
        <v>2075</v>
      </c>
      <c r="F38">
        <v>2100</v>
      </c>
    </row>
    <row r="39" spans="1:20" x14ac:dyDescent="0.35">
      <c r="A39" s="30" t="s">
        <v>201</v>
      </c>
      <c r="B39" s="40">
        <f>'KF World - Temperature'!B6</f>
        <v>0.74</v>
      </c>
      <c r="C39" s="40">
        <f>'KF World - Temperature'!C6</f>
        <v>0.74</v>
      </c>
      <c r="D39" s="40">
        <f>'KF World - Temperature'!D6</f>
        <v>0.74</v>
      </c>
      <c r="E39" s="40">
        <f>'KF World - Temperature'!E6</f>
        <v>0.5</v>
      </c>
      <c r="F39" s="40">
        <f>'KF World - Temperature'!F6</f>
        <v>0.74</v>
      </c>
    </row>
    <row r="40" spans="1:20" x14ac:dyDescent="0.35">
      <c r="A40" s="30" t="s">
        <v>193</v>
      </c>
      <c r="B40" s="40">
        <f>1-B39</f>
        <v>0.26</v>
      </c>
      <c r="C40" s="40">
        <f>1-C39</f>
        <v>0.26</v>
      </c>
      <c r="D40" s="40">
        <f>1-D39</f>
        <v>0.26</v>
      </c>
      <c r="E40" s="40">
        <f>1-E39</f>
        <v>0.5</v>
      </c>
      <c r="F40" s="40">
        <f>1-F39</f>
        <v>0.26</v>
      </c>
    </row>
    <row r="41" spans="1:20" x14ac:dyDescent="0.35">
      <c r="A41" s="30" t="s">
        <v>202</v>
      </c>
      <c r="B41" s="75">
        <f>('KF World'!G1/B39)*B40</f>
        <v>11592.935877075031</v>
      </c>
      <c r="C41" s="75">
        <f>('KF World'!H1/C39)*C40</f>
        <v>11579.911626310559</v>
      </c>
      <c r="D41" s="75">
        <f>('KF World'!I1/D39)*D40</f>
        <v>10289.469298055528</v>
      </c>
      <c r="E41" s="75">
        <f>('KF World - Temperature'!E4/E39)*E40</f>
        <v>29285.412617542657</v>
      </c>
      <c r="F41" s="75">
        <f>('KF World - Temperature'!F4/F39)*(F40)</f>
        <v>10289.469298055528</v>
      </c>
    </row>
    <row r="42" spans="1:20" x14ac:dyDescent="0.35">
      <c r="A42" s="30" t="s">
        <v>203</v>
      </c>
      <c r="B42" s="75">
        <f>'KF World'!G1+B41</f>
        <v>44588.214911827039</v>
      </c>
      <c r="C42" s="75">
        <f>'KF World'!H1+C41</f>
        <v>44538.121639655998</v>
      </c>
      <c r="D42" s="75">
        <f>'KF World'!I1+D41</f>
        <v>39574.881915598184</v>
      </c>
      <c r="E42" s="75">
        <f>'KF World - Temperature'!E4+E41</f>
        <v>58570.825235085314</v>
      </c>
      <c r="F42" s="75">
        <f>'KF World - Temperature'!F4+F41</f>
        <v>39574.881915598184</v>
      </c>
    </row>
    <row r="44" spans="1:20" x14ac:dyDescent="0.35">
      <c r="A44" s="30" t="s">
        <v>204</v>
      </c>
      <c r="B44" s="96">
        <v>2018</v>
      </c>
      <c r="C44">
        <v>2019</v>
      </c>
      <c r="D44" s="108">
        <v>2020</v>
      </c>
      <c r="E44" s="108">
        <v>2025</v>
      </c>
      <c r="F44" s="110">
        <v>2030</v>
      </c>
      <c r="G44" s="108">
        <v>2035</v>
      </c>
      <c r="H44" s="108">
        <v>2040</v>
      </c>
      <c r="I44" s="108">
        <v>2045</v>
      </c>
      <c r="J44" s="110">
        <v>2050</v>
      </c>
      <c r="K44" s="108">
        <v>2055</v>
      </c>
      <c r="L44" s="108">
        <v>2060</v>
      </c>
      <c r="M44" s="108">
        <v>2065</v>
      </c>
      <c r="N44" s="108">
        <v>2070</v>
      </c>
      <c r="O44" s="110">
        <v>2075</v>
      </c>
      <c r="P44" s="108">
        <v>2080</v>
      </c>
      <c r="Q44" s="108">
        <v>2085</v>
      </c>
      <c r="R44" s="108">
        <v>2090</v>
      </c>
      <c r="S44" s="108">
        <v>2095</v>
      </c>
      <c r="T44" s="110">
        <v>2100</v>
      </c>
    </row>
    <row r="45" spans="1:20" x14ac:dyDescent="0.35">
      <c r="A45" s="30" t="s">
        <v>205</v>
      </c>
      <c r="B45" s="111">
        <f>B42</f>
        <v>44588.214911827039</v>
      </c>
      <c r="C45" s="75">
        <f>B45+(($F$45-$B$45)/12)</f>
        <v>44584.04047247945</v>
      </c>
      <c r="D45" s="75">
        <f>C45+(($F$45-$B$45)/12)</f>
        <v>44579.866033131861</v>
      </c>
      <c r="E45" s="75">
        <f>D45+(($F$45-$B$45)/12)*5</f>
        <v>44558.993836393929</v>
      </c>
      <c r="F45" s="109">
        <f>C42</f>
        <v>44538.121639655998</v>
      </c>
      <c r="G45" s="7">
        <f>F45+(J45-F45)/4</f>
        <v>43297.311708641544</v>
      </c>
      <c r="H45" s="7">
        <f>G45+(J45-F45)/4</f>
        <v>42056.501777627091</v>
      </c>
      <c r="I45" s="7">
        <f>H45+(J45-F45)/4</f>
        <v>40815.691846612637</v>
      </c>
      <c r="J45" s="109">
        <f>D42</f>
        <v>39574.881915598184</v>
      </c>
      <c r="K45" s="7">
        <f>J45+(O45-J45)/5</f>
        <v>43374.070579495608</v>
      </c>
      <c r="L45" s="7">
        <f>K45+(O45-J45)/5</f>
        <v>47173.259243393033</v>
      </c>
      <c r="M45" s="7">
        <f>L45+(O45-J45)/5</f>
        <v>50972.447907290458</v>
      </c>
      <c r="N45" s="7">
        <f>M45+(O45-J45)/5</f>
        <v>54771.636571187883</v>
      </c>
      <c r="O45" s="109">
        <f>E42</f>
        <v>58570.825235085314</v>
      </c>
      <c r="P45" s="7">
        <f>O45+(T45-O45)/5</f>
        <v>54771.63657118789</v>
      </c>
      <c r="Q45" s="7">
        <f>P45+(T45-O45)/5</f>
        <v>50972.447907290465</v>
      </c>
      <c r="R45" s="7">
        <f>Q45+(T45-O45)/5</f>
        <v>47173.25924339304</v>
      </c>
      <c r="S45" s="7">
        <f>R45+(T45-O45)/5</f>
        <v>43374.070579495616</v>
      </c>
      <c r="T45" s="109">
        <f>F42</f>
        <v>39574.881915598184</v>
      </c>
    </row>
    <row r="47" spans="1:20" x14ac:dyDescent="0.35">
      <c r="A47" s="39" t="s">
        <v>206</v>
      </c>
    </row>
    <row r="48" spans="1:20" x14ac:dyDescent="0.35">
      <c r="A48" t="s">
        <v>195</v>
      </c>
      <c r="B48">
        <v>2015</v>
      </c>
    </row>
    <row r="49" spans="1:25" x14ac:dyDescent="0.35">
      <c r="A49" t="s">
        <v>207</v>
      </c>
      <c r="B49">
        <v>399.4</v>
      </c>
    </row>
    <row r="50" spans="1:25" ht="19.5" customHeight="1" x14ac:dyDescent="0.35">
      <c r="A50" t="s">
        <v>208</v>
      </c>
      <c r="B50">
        <v>14.65</v>
      </c>
    </row>
    <row r="51" spans="1:25" x14ac:dyDescent="0.35">
      <c r="A51" t="s">
        <v>209</v>
      </c>
      <c r="B51">
        <v>3</v>
      </c>
    </row>
    <row r="52" spans="1:25" x14ac:dyDescent="0.35">
      <c r="A52" t="s">
        <v>317</v>
      </c>
      <c r="B52" s="116">
        <f>'KF World'!F1*12/44*10^-3</f>
        <v>8.6949609854050909</v>
      </c>
    </row>
    <row r="53" spans="1:25" x14ac:dyDescent="0.35">
      <c r="B53" s="34"/>
    </row>
    <row r="54" spans="1:25" x14ac:dyDescent="0.35">
      <c r="B54">
        <v>2018</v>
      </c>
      <c r="C54">
        <v>2019</v>
      </c>
      <c r="D54" s="108">
        <v>2020</v>
      </c>
      <c r="E54" s="108">
        <v>2025</v>
      </c>
      <c r="F54" s="108">
        <v>2030</v>
      </c>
      <c r="G54" s="108">
        <v>2035</v>
      </c>
      <c r="H54" s="108">
        <v>2040</v>
      </c>
      <c r="I54" s="108">
        <v>2045</v>
      </c>
      <c r="J54" s="108">
        <v>2050</v>
      </c>
      <c r="K54" s="108">
        <v>2055</v>
      </c>
      <c r="L54" s="108">
        <v>2060</v>
      </c>
      <c r="M54" s="108">
        <v>2065</v>
      </c>
      <c r="N54" s="108">
        <v>2070</v>
      </c>
      <c r="O54" s="108">
        <v>2075</v>
      </c>
      <c r="P54" s="108">
        <v>2080</v>
      </c>
      <c r="Q54" s="108">
        <v>2085</v>
      </c>
      <c r="R54" s="108">
        <v>2090</v>
      </c>
      <c r="S54" s="108">
        <v>2095</v>
      </c>
      <c r="T54" s="108">
        <v>2100</v>
      </c>
    </row>
    <row r="55" spans="1:25" x14ac:dyDescent="0.35">
      <c r="A55" t="s">
        <v>210</v>
      </c>
      <c r="B55" s="104">
        <f>B45*12/44*10^-3</f>
        <v>12.160422248680103</v>
      </c>
      <c r="C55" s="104">
        <f t="shared" ref="C55:T55" si="0">C45*12/44*10^-3</f>
        <v>12.159283765221668</v>
      </c>
      <c r="D55" s="104">
        <f t="shared" si="0"/>
        <v>12.158145281763234</v>
      </c>
      <c r="E55" s="104">
        <f t="shared" si="0"/>
        <v>12.152452864471073</v>
      </c>
      <c r="F55" s="104">
        <f t="shared" si="0"/>
        <v>12.146760447178909</v>
      </c>
      <c r="G55" s="104">
        <f t="shared" si="0"/>
        <v>11.808357738720421</v>
      </c>
      <c r="H55" s="104">
        <f t="shared" si="0"/>
        <v>11.469955030261934</v>
      </c>
      <c r="I55" s="104">
        <f t="shared" si="0"/>
        <v>11.131552321803447</v>
      </c>
      <c r="J55" s="104">
        <f t="shared" si="0"/>
        <v>10.79314961334496</v>
      </c>
      <c r="K55" s="104">
        <f t="shared" si="0"/>
        <v>11.829291976226076</v>
      </c>
      <c r="L55" s="104">
        <f t="shared" si="0"/>
        <v>12.865434339107191</v>
      </c>
      <c r="M55" s="104">
        <f t="shared" si="0"/>
        <v>13.901576701988308</v>
      </c>
      <c r="N55" s="104">
        <f t="shared" si="0"/>
        <v>14.937719064869423</v>
      </c>
      <c r="O55" s="104">
        <f t="shared" si="0"/>
        <v>15.973861427750538</v>
      </c>
      <c r="P55" s="104">
        <f t="shared" si="0"/>
        <v>14.937719064869425</v>
      </c>
      <c r="Q55" s="104">
        <f t="shared" si="0"/>
        <v>13.901576701988308</v>
      </c>
      <c r="R55" s="104">
        <f t="shared" si="0"/>
        <v>12.865434339107194</v>
      </c>
      <c r="S55" s="104">
        <f t="shared" si="0"/>
        <v>11.829291976226077</v>
      </c>
      <c r="T55" s="104">
        <f t="shared" si="0"/>
        <v>10.79314961334496</v>
      </c>
      <c r="U55" s="104"/>
    </row>
    <row r="56" spans="1:25" x14ac:dyDescent="0.35">
      <c r="A56" t="s">
        <v>207</v>
      </c>
      <c r="B56" s="7">
        <f>(B49+AVERAGE(B52,B55)*0.45*3/2.3)*(1-0.001)^3</f>
        <v>404.30525595278789</v>
      </c>
      <c r="C56" s="7">
        <f>(B56+AVERAGE(B55,C55)*0.45/2.3)*(1-0.001)^1</f>
        <v>406.27767327043279</v>
      </c>
      <c r="D56" s="7">
        <f>(C56+AVERAGE(C55,D55)*0.45/2.3)*(1-0.001)^1</f>
        <v>408.24789564674325</v>
      </c>
      <c r="E56" s="7">
        <f>(D56+AVERAGE(D55,E55)*0.45*5/2.3)*(1-0.001)^5</f>
        <v>418.04245153259859</v>
      </c>
      <c r="F56" s="7">
        <f t="shared" ref="F56:T56" si="1">(E56+AVERAGE(E55,F55)*0.45*5/2.3)*(1-0.001)^5</f>
        <v>427.78259160531121</v>
      </c>
      <c r="G56" s="7">
        <f t="shared" si="1"/>
        <v>437.30666073884385</v>
      </c>
      <c r="H56" s="7">
        <f t="shared" si="1"/>
        <v>446.45381046785394</v>
      </c>
      <c r="I56" s="7">
        <f t="shared" si="1"/>
        <v>455.22592162393744</v>
      </c>
      <c r="J56" s="7">
        <f t="shared" si="1"/>
        <v>463.62486565332171</v>
      </c>
      <c r="K56" s="7">
        <f t="shared" si="1"/>
        <v>472.3214815495279</v>
      </c>
      <c r="L56" s="7">
        <f t="shared" si="1"/>
        <v>481.98326081279447</v>
      </c>
      <c r="M56" s="7">
        <f t="shared" si="1"/>
        <v>492.60538726827286</v>
      </c>
      <c r="N56" s="7">
        <f t="shared" si="1"/>
        <v>504.18306877387539</v>
      </c>
      <c r="O56" s="7">
        <f t="shared" si="1"/>
        <v>516.71153710035117</v>
      </c>
      <c r="P56" s="7">
        <f t="shared" si="1"/>
        <v>529.17748824465571</v>
      </c>
      <c r="Q56" s="7">
        <f t="shared" si="1"/>
        <v>540.5726746008479</v>
      </c>
      <c r="R56" s="7">
        <f t="shared" si="1"/>
        <v>550.9024392959227</v>
      </c>
      <c r="S56" s="7">
        <f t="shared" si="1"/>
        <v>560.17209879461802</v>
      </c>
      <c r="T56" s="7">
        <f t="shared" si="1"/>
        <v>568.3869430324595</v>
      </c>
    </row>
    <row r="58" spans="1:25" x14ac:dyDescent="0.35">
      <c r="A58" t="s">
        <v>211</v>
      </c>
      <c r="B58">
        <v>1995</v>
      </c>
      <c r="C58">
        <v>2000</v>
      </c>
      <c r="D58">
        <v>2005</v>
      </c>
      <c r="E58">
        <v>2010</v>
      </c>
      <c r="F58">
        <v>2015</v>
      </c>
      <c r="G58">
        <v>2018</v>
      </c>
      <c r="H58">
        <v>2019</v>
      </c>
      <c r="I58" s="108">
        <v>2020</v>
      </c>
      <c r="J58" s="108">
        <v>2025</v>
      </c>
      <c r="K58" s="108">
        <v>2030</v>
      </c>
      <c r="L58" s="108">
        <v>2035</v>
      </c>
      <c r="M58" s="108">
        <v>2040</v>
      </c>
      <c r="N58" s="108">
        <v>2045</v>
      </c>
      <c r="O58" s="108">
        <v>2050</v>
      </c>
      <c r="P58" s="108">
        <v>2055</v>
      </c>
      <c r="Q58" s="108">
        <v>2060</v>
      </c>
      <c r="R58" s="108">
        <v>2065</v>
      </c>
      <c r="S58" s="108">
        <v>2070</v>
      </c>
      <c r="T58" s="108">
        <v>2075</v>
      </c>
      <c r="U58" s="108">
        <v>2080</v>
      </c>
      <c r="V58" s="108">
        <v>2085</v>
      </c>
      <c r="W58" s="108">
        <v>2090</v>
      </c>
      <c r="X58" s="108">
        <v>2095</v>
      </c>
      <c r="Y58" s="108">
        <v>2100</v>
      </c>
    </row>
    <row r="59" spans="1:25" x14ac:dyDescent="0.35">
      <c r="A59" t="s">
        <v>212</v>
      </c>
      <c r="B59" s="112">
        <v>14.24</v>
      </c>
      <c r="C59" s="113">
        <v>14.4</v>
      </c>
      <c r="D59" s="113">
        <v>14.47</v>
      </c>
      <c r="E59" s="113">
        <v>14.45</v>
      </c>
      <c r="F59" s="113">
        <v>14.65</v>
      </c>
      <c r="G59" s="34">
        <f>F59+$B$51*LOG(B56/B49,2)</f>
        <v>14.702831877789135</v>
      </c>
      <c r="H59" s="34">
        <f t="shared" ref="H59:Y59" si="2">G59+$B$51*LOG(C56/B56,2)</f>
        <v>14.723895254747998</v>
      </c>
      <c r="I59" s="34">
        <f t="shared" si="2"/>
        <v>14.74483334953945</v>
      </c>
      <c r="J59" s="34">
        <f t="shared" si="2"/>
        <v>14.847445360911147</v>
      </c>
      <c r="K59" s="34">
        <f t="shared" si="2"/>
        <v>14.94713032352716</v>
      </c>
      <c r="L59" s="34">
        <f t="shared" si="2"/>
        <v>15.04243296967674</v>
      </c>
      <c r="M59" s="34">
        <f t="shared" si="2"/>
        <v>15.132029772782579</v>
      </c>
      <c r="N59" s="34">
        <f t="shared" si="2"/>
        <v>15.216245132849362</v>
      </c>
      <c r="O59" s="34">
        <f t="shared" si="2"/>
        <v>15.295370835670541</v>
      </c>
      <c r="P59" s="34">
        <f t="shared" si="2"/>
        <v>15.375804457284772</v>
      </c>
      <c r="Q59" s="34">
        <f t="shared" si="2"/>
        <v>15.463446130054994</v>
      </c>
      <c r="R59" s="34">
        <f t="shared" si="2"/>
        <v>15.557794218555474</v>
      </c>
      <c r="S59" s="34">
        <f t="shared" si="2"/>
        <v>15.65834001507292</v>
      </c>
      <c r="T59" s="34">
        <f t="shared" si="2"/>
        <v>15.764574291214245</v>
      </c>
      <c r="U59" s="34">
        <f t="shared" si="2"/>
        <v>15.867752069221783</v>
      </c>
      <c r="V59" s="34">
        <f t="shared" si="2"/>
        <v>15.959962762498542</v>
      </c>
      <c r="W59" s="34">
        <f t="shared" si="2"/>
        <v>16.041887554380448</v>
      </c>
      <c r="X59" s="34">
        <f t="shared" si="2"/>
        <v>16.114107382810445</v>
      </c>
      <c r="Y59" s="34">
        <f t="shared" si="2"/>
        <v>16.177117241898802</v>
      </c>
    </row>
    <row r="60" spans="1:25" x14ac:dyDescent="0.35">
      <c r="A60" t="s">
        <v>213</v>
      </c>
      <c r="B60">
        <f t="shared" ref="B60:G60" si="3">15.8</f>
        <v>15.8</v>
      </c>
      <c r="C60">
        <f t="shared" si="3"/>
        <v>15.8</v>
      </c>
      <c r="D60">
        <f t="shared" si="3"/>
        <v>15.8</v>
      </c>
      <c r="E60">
        <f t="shared" si="3"/>
        <v>15.8</v>
      </c>
      <c r="F60">
        <f t="shared" si="3"/>
        <v>15.8</v>
      </c>
      <c r="G60">
        <f t="shared" si="3"/>
        <v>15.8</v>
      </c>
      <c r="H60">
        <v>15.8</v>
      </c>
      <c r="I60">
        <v>15.8</v>
      </c>
      <c r="J60">
        <v>15.8</v>
      </c>
      <c r="K60">
        <v>15.8</v>
      </c>
      <c r="L60">
        <v>15.8</v>
      </c>
      <c r="M60">
        <v>15.8</v>
      </c>
      <c r="N60">
        <v>15.8</v>
      </c>
      <c r="O60">
        <v>15.8</v>
      </c>
      <c r="P60">
        <v>15.8</v>
      </c>
      <c r="Q60">
        <v>15.8</v>
      </c>
      <c r="R60">
        <v>15.8</v>
      </c>
      <c r="S60">
        <v>15.8</v>
      </c>
      <c r="T60">
        <v>15.8</v>
      </c>
      <c r="U60">
        <v>15.8</v>
      </c>
      <c r="V60">
        <v>15.8</v>
      </c>
      <c r="W60">
        <v>15.8</v>
      </c>
      <c r="X60">
        <v>15.8</v>
      </c>
      <c r="Y60">
        <v>15.8</v>
      </c>
    </row>
  </sheetData>
  <mergeCells count="1">
    <mergeCell ref="A1:F1"/>
  </mergeCells>
  <pageMargins left="0.7" right="0.7" top="0.75" bottom="0.75" header="0.3" footer="0.3"/>
  <pageSetup paperSize="9" orientation="portrait" r:id="rId1"/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 codeName="Ark54"/>
  <dimension ref="A1:L32"/>
  <sheetViews>
    <sheetView workbookViewId="0">
      <selection activeCell="P33" sqref="P33"/>
    </sheetView>
  </sheetViews>
  <sheetFormatPr defaultRowHeight="14.5" x14ac:dyDescent="0.35"/>
  <cols>
    <col min="1" max="1" width="30" customWidth="1"/>
    <col min="2" max="2" width="11.54296875" customWidth="1"/>
    <col min="3" max="3" width="12" customWidth="1"/>
    <col min="4" max="4" width="14.54296875" customWidth="1"/>
    <col min="5" max="5" width="14.1796875" customWidth="1"/>
    <col min="8" max="8" width="22.81640625" customWidth="1"/>
    <col min="9" max="9" width="21.81640625" customWidth="1"/>
    <col min="10" max="10" width="13.81640625" customWidth="1"/>
    <col min="11" max="11" width="12.26953125" customWidth="1"/>
    <col min="12" max="12" width="11.81640625" customWidth="1"/>
  </cols>
  <sheetData>
    <row r="1" spans="1:12" x14ac:dyDescent="0.35">
      <c r="B1" t="s">
        <v>214</v>
      </c>
      <c r="C1" t="s">
        <v>2</v>
      </c>
      <c r="D1" t="s">
        <v>215</v>
      </c>
      <c r="E1" t="s">
        <v>216</v>
      </c>
      <c r="F1" t="s">
        <v>5</v>
      </c>
      <c r="G1" t="s">
        <v>6</v>
      </c>
      <c r="H1" t="s">
        <v>217</v>
      </c>
      <c r="I1" t="s">
        <v>8</v>
      </c>
      <c r="J1" t="s">
        <v>9</v>
      </c>
      <c r="K1" t="s">
        <v>10</v>
      </c>
      <c r="L1" t="s">
        <v>218</v>
      </c>
    </row>
    <row r="2" spans="1:12" x14ac:dyDescent="0.35">
      <c r="B2" t="s">
        <v>219</v>
      </c>
      <c r="C2" t="s">
        <v>219</v>
      </c>
      <c r="D2" t="s">
        <v>219</v>
      </c>
      <c r="E2" t="s">
        <v>219</v>
      </c>
      <c r="F2" t="s">
        <v>219</v>
      </c>
      <c r="G2" t="s">
        <v>219</v>
      </c>
      <c r="H2" t="s">
        <v>219</v>
      </c>
      <c r="I2" t="s">
        <v>219</v>
      </c>
      <c r="J2" t="s">
        <v>219</v>
      </c>
      <c r="K2" t="s">
        <v>219</v>
      </c>
      <c r="L2" t="s">
        <v>219</v>
      </c>
    </row>
    <row r="3" spans="1:12" x14ac:dyDescent="0.35">
      <c r="A3" t="s">
        <v>17</v>
      </c>
      <c r="B3" s="7">
        <v>990295</v>
      </c>
      <c r="C3" s="7">
        <v>1016065</v>
      </c>
      <c r="D3" s="7"/>
      <c r="E3" s="7">
        <v>824069</v>
      </c>
      <c r="F3" s="7">
        <v>538703</v>
      </c>
      <c r="G3" s="7">
        <v>113921</v>
      </c>
      <c r="H3" s="7">
        <v>30509</v>
      </c>
      <c r="I3" s="7">
        <v>170886</v>
      </c>
      <c r="J3" s="7"/>
      <c r="K3" s="7">
        <v>399</v>
      </c>
      <c r="L3" s="7">
        <v>3684846</v>
      </c>
    </row>
    <row r="4" spans="1:12" x14ac:dyDescent="0.35">
      <c r="A4" t="s">
        <v>220</v>
      </c>
      <c r="B4" s="7">
        <v>244419</v>
      </c>
      <c r="C4" s="7">
        <v>1416380</v>
      </c>
      <c r="D4" s="7">
        <v>356136</v>
      </c>
      <c r="E4" s="7">
        <v>305723</v>
      </c>
      <c r="F4" s="7"/>
      <c r="G4" s="7"/>
      <c r="H4" s="7"/>
      <c r="I4" s="7">
        <v>600</v>
      </c>
      <c r="J4" s="7">
        <v>23013</v>
      </c>
      <c r="K4" s="7">
        <v>3</v>
      </c>
      <c r="L4" s="7">
        <v>2346274</v>
      </c>
    </row>
    <row r="5" spans="1:12" x14ac:dyDescent="0.35">
      <c r="A5" t="s">
        <v>221</v>
      </c>
      <c r="B5" s="7">
        <v>-208392</v>
      </c>
      <c r="C5" s="7">
        <v>-379441</v>
      </c>
      <c r="D5" s="7">
        <v>-277543</v>
      </c>
      <c r="E5" s="7">
        <v>-136164</v>
      </c>
      <c r="F5" s="7"/>
      <c r="G5" s="7"/>
      <c r="H5" s="7"/>
      <c r="I5" s="7">
        <v>-250</v>
      </c>
      <c r="J5" s="7">
        <v>-22783</v>
      </c>
      <c r="K5" s="7">
        <v>-3</v>
      </c>
      <c r="L5" s="7">
        <v>-1024577</v>
      </c>
    </row>
    <row r="6" spans="1:12" x14ac:dyDescent="0.35">
      <c r="A6" t="s">
        <v>222</v>
      </c>
      <c r="B6" s="7"/>
      <c r="C6" s="7"/>
      <c r="D6" s="7">
        <v>-79798</v>
      </c>
      <c r="E6" s="7"/>
      <c r="F6" s="7"/>
      <c r="G6" s="7"/>
      <c r="H6" s="7"/>
      <c r="I6" s="7"/>
      <c r="J6" s="7"/>
      <c r="K6" s="7"/>
      <c r="L6" s="7">
        <v>-79798</v>
      </c>
    </row>
    <row r="7" spans="1:12" x14ac:dyDescent="0.35">
      <c r="A7" t="s">
        <v>223</v>
      </c>
      <c r="B7" s="7"/>
      <c r="C7" s="7"/>
      <c r="D7" s="7">
        <v>-58865</v>
      </c>
      <c r="E7" s="7"/>
      <c r="F7" s="7"/>
      <c r="G7" s="7"/>
      <c r="H7" s="7"/>
      <c r="I7" s="7"/>
      <c r="J7" s="7"/>
      <c r="K7" s="7"/>
      <c r="L7" s="7">
        <v>-58865</v>
      </c>
    </row>
    <row r="8" spans="1:12" x14ac:dyDescent="0.35">
      <c r="A8" t="s">
        <v>224</v>
      </c>
      <c r="B8" s="7">
        <v>-2173</v>
      </c>
      <c r="C8" s="7">
        <v>3240</v>
      </c>
      <c r="D8" s="7">
        <v>11182</v>
      </c>
      <c r="E8" s="7">
        <v>10381</v>
      </c>
      <c r="F8" s="7"/>
      <c r="G8" s="7"/>
      <c r="H8" s="7"/>
      <c r="I8" s="7">
        <v>11</v>
      </c>
      <c r="J8" s="7"/>
      <c r="K8" s="7"/>
      <c r="L8" s="7">
        <v>22640</v>
      </c>
    </row>
    <row r="9" spans="1:12" x14ac:dyDescent="0.35">
      <c r="A9" t="s">
        <v>225</v>
      </c>
      <c r="B9" s="7">
        <v>1024149</v>
      </c>
      <c r="C9" s="7">
        <v>2056244</v>
      </c>
      <c r="D9" s="7">
        <v>-48888</v>
      </c>
      <c r="E9" s="7">
        <v>1004008</v>
      </c>
      <c r="F9" s="7">
        <v>538703</v>
      </c>
      <c r="G9" s="7">
        <v>113921</v>
      </c>
      <c r="H9" s="7">
        <v>30509</v>
      </c>
      <c r="I9" s="7">
        <v>171247</v>
      </c>
      <c r="J9" s="7">
        <v>230</v>
      </c>
      <c r="K9" s="7">
        <v>399</v>
      </c>
      <c r="L9" s="7">
        <v>4890520</v>
      </c>
    </row>
    <row r="10" spans="1:12" x14ac:dyDescent="0.35">
      <c r="A10" t="s">
        <v>226</v>
      </c>
      <c r="B10" s="7"/>
      <c r="C10" s="7">
        <v>-48329</v>
      </c>
      <c r="D10" s="7">
        <v>55954</v>
      </c>
      <c r="E10" s="7"/>
      <c r="F10" s="7"/>
      <c r="G10" s="7"/>
      <c r="H10" s="7"/>
      <c r="I10" s="7"/>
      <c r="J10" s="7"/>
      <c r="K10" s="7"/>
      <c r="L10" s="7">
        <v>7625</v>
      </c>
    </row>
    <row r="11" spans="1:12" x14ac:dyDescent="0.35">
      <c r="A11" t="s">
        <v>227</v>
      </c>
      <c r="B11" s="7">
        <v>18221</v>
      </c>
      <c r="C11" s="7">
        <v>3069</v>
      </c>
      <c r="D11" s="7">
        <v>-3248</v>
      </c>
      <c r="E11" s="7">
        <v>-13328</v>
      </c>
      <c r="F11" s="7"/>
      <c r="G11" s="7"/>
      <c r="H11" s="7">
        <v>127</v>
      </c>
      <c r="I11" s="7">
        <v>-21</v>
      </c>
      <c r="J11" s="7">
        <v>-485</v>
      </c>
      <c r="K11" s="7">
        <v>-127</v>
      </c>
      <c r="L11" s="7">
        <v>4207</v>
      </c>
    </row>
    <row r="12" spans="1:12" x14ac:dyDescent="0.35">
      <c r="A12" t="s">
        <v>228</v>
      </c>
      <c r="B12" s="7">
        <v>-704224</v>
      </c>
      <c r="C12" s="7">
        <v>-16699</v>
      </c>
      <c r="D12" s="7">
        <v>-113380</v>
      </c>
      <c r="E12" s="7">
        <v>-161496</v>
      </c>
      <c r="F12" s="7">
        <v>-531797</v>
      </c>
      <c r="G12" s="7">
        <v>-113921</v>
      </c>
      <c r="H12" s="7">
        <v>-25968</v>
      </c>
      <c r="I12" s="7">
        <v>-18625</v>
      </c>
      <c r="J12" s="7">
        <v>670904</v>
      </c>
      <c r="K12" s="7">
        <v>-89</v>
      </c>
      <c r="L12" s="7">
        <v>-1015296</v>
      </c>
    </row>
    <row r="13" spans="1:12" x14ac:dyDescent="0.35">
      <c r="A13" t="s">
        <v>66</v>
      </c>
      <c r="B13" s="7">
        <v>-88827</v>
      </c>
      <c r="C13" s="7">
        <v>-493</v>
      </c>
      <c r="D13" s="7">
        <v>-10371</v>
      </c>
      <c r="E13" s="7">
        <v>-79285</v>
      </c>
      <c r="F13" s="7">
        <v>-6906</v>
      </c>
      <c r="G13" s="7"/>
      <c r="H13" s="7">
        <v>-536</v>
      </c>
      <c r="I13" s="7">
        <v>-38646</v>
      </c>
      <c r="J13" s="7">
        <v>66780</v>
      </c>
      <c r="K13" s="7">
        <v>38271</v>
      </c>
      <c r="L13" s="7">
        <v>-120014</v>
      </c>
    </row>
    <row r="14" spans="1:12" x14ac:dyDescent="0.35">
      <c r="A14" t="s">
        <v>229</v>
      </c>
      <c r="B14" s="7">
        <v>-7775</v>
      </c>
      <c r="C14" s="7">
        <v>-4</v>
      </c>
      <c r="D14" s="7">
        <v>-3907</v>
      </c>
      <c r="E14" s="7">
        <v>-7091</v>
      </c>
      <c r="F14" s="7"/>
      <c r="G14" s="7"/>
      <c r="H14" s="7">
        <v>-371</v>
      </c>
      <c r="I14" s="7">
        <v>-2333</v>
      </c>
      <c r="J14" s="7">
        <v>-602</v>
      </c>
      <c r="K14" s="7">
        <v>18352</v>
      </c>
      <c r="L14" s="7">
        <v>-3731</v>
      </c>
    </row>
    <row r="15" spans="1:12" x14ac:dyDescent="0.35">
      <c r="A15" t="s">
        <v>230</v>
      </c>
      <c r="B15" s="7">
        <v>-1688</v>
      </c>
      <c r="C15" s="7"/>
      <c r="D15" s="7">
        <v>-5252</v>
      </c>
      <c r="E15" s="7">
        <v>5670</v>
      </c>
      <c r="F15" s="7"/>
      <c r="G15" s="7"/>
      <c r="H15" s="7"/>
      <c r="I15" s="7">
        <v>-44</v>
      </c>
      <c r="J15" s="7"/>
      <c r="K15" s="7"/>
      <c r="L15" s="7">
        <v>-1313</v>
      </c>
    </row>
    <row r="16" spans="1:12" x14ac:dyDescent="0.35">
      <c r="A16" t="s">
        <v>70</v>
      </c>
      <c r="B16" s="7"/>
      <c r="C16" s="7">
        <v>-2012109</v>
      </c>
      <c r="D16" s="7">
        <v>2008173</v>
      </c>
      <c r="E16" s="7"/>
      <c r="F16" s="7"/>
      <c r="G16" s="7"/>
      <c r="H16" s="7"/>
      <c r="I16" s="7"/>
      <c r="J16" s="7"/>
      <c r="K16" s="7"/>
      <c r="L16" s="7">
        <v>-3937</v>
      </c>
    </row>
    <row r="17" spans="1:12" x14ac:dyDescent="0.35">
      <c r="A17" t="s">
        <v>231</v>
      </c>
      <c r="B17" s="7">
        <v>-67901</v>
      </c>
      <c r="C17" s="7">
        <v>66</v>
      </c>
      <c r="D17" s="7">
        <v>-3401</v>
      </c>
      <c r="E17" s="7">
        <v>-276</v>
      </c>
      <c r="F17" s="7"/>
      <c r="G17" s="7"/>
      <c r="H17" s="7"/>
      <c r="I17" s="7"/>
      <c r="J17" s="7"/>
      <c r="K17" s="7"/>
      <c r="L17" s="7">
        <v>-71512</v>
      </c>
    </row>
    <row r="18" spans="1:12" x14ac:dyDescent="0.35">
      <c r="A18" t="s">
        <v>232</v>
      </c>
      <c r="B18" s="7">
        <v>-453</v>
      </c>
      <c r="C18" s="7">
        <v>583</v>
      </c>
      <c r="D18" s="7"/>
      <c r="E18" s="7">
        <v>-333</v>
      </c>
      <c r="F18" s="7"/>
      <c r="G18" s="7"/>
      <c r="H18" s="7"/>
      <c r="I18" s="7"/>
      <c r="J18" s="7"/>
      <c r="K18" s="7"/>
      <c r="L18" s="7">
        <v>-203</v>
      </c>
    </row>
    <row r="19" spans="1:12" x14ac:dyDescent="0.35">
      <c r="A19" t="s">
        <v>233</v>
      </c>
      <c r="B19" s="7"/>
      <c r="C19" s="7">
        <v>22044</v>
      </c>
      <c r="D19" s="7">
        <v>-21813</v>
      </c>
      <c r="E19" s="7">
        <v>-1512</v>
      </c>
      <c r="F19" s="7"/>
      <c r="G19" s="7"/>
      <c r="H19" s="7"/>
      <c r="I19" s="7">
        <v>-370</v>
      </c>
      <c r="J19" s="7"/>
      <c r="K19" s="7">
        <v>-90</v>
      </c>
      <c r="L19" s="7">
        <v>-1741</v>
      </c>
    </row>
    <row r="20" spans="1:12" x14ac:dyDescent="0.35">
      <c r="A20" t="s">
        <v>234</v>
      </c>
      <c r="B20" s="7">
        <v>-16470</v>
      </c>
      <c r="C20" s="7">
        <v>-1286</v>
      </c>
      <c r="D20" s="7">
        <v>-124208</v>
      </c>
      <c r="E20" s="7">
        <v>-79693</v>
      </c>
      <c r="F20" s="7"/>
      <c r="G20" s="7"/>
      <c r="H20" s="7"/>
      <c r="I20" s="7">
        <v>-53</v>
      </c>
      <c r="J20" s="7">
        <v>-60473</v>
      </c>
      <c r="K20" s="7">
        <v>-3259</v>
      </c>
      <c r="L20" s="7">
        <v>-285443</v>
      </c>
    </row>
    <row r="21" spans="1:12" x14ac:dyDescent="0.35">
      <c r="A21" t="s">
        <v>235</v>
      </c>
      <c r="B21" s="7">
        <v>-1127</v>
      </c>
      <c r="C21" s="7"/>
      <c r="D21" s="7">
        <v>-260</v>
      </c>
      <c r="E21" s="7">
        <v>-2918</v>
      </c>
      <c r="F21" s="7"/>
      <c r="G21" s="7"/>
      <c r="H21" s="7">
        <v>-6</v>
      </c>
      <c r="I21" s="7"/>
      <c r="J21" s="7">
        <v>-51177</v>
      </c>
      <c r="K21" s="7">
        <v>-4776</v>
      </c>
      <c r="L21" s="7">
        <v>-60265</v>
      </c>
    </row>
    <row r="22" spans="1:12" x14ac:dyDescent="0.35">
      <c r="A22" t="s">
        <v>131</v>
      </c>
      <c r="B22" s="7">
        <v>153906</v>
      </c>
      <c r="C22" s="7">
        <v>3084</v>
      </c>
      <c r="D22" s="7">
        <v>1729398</v>
      </c>
      <c r="E22" s="7">
        <v>663747</v>
      </c>
      <c r="F22" s="7"/>
      <c r="G22" s="7"/>
      <c r="H22" s="7">
        <v>3754</v>
      </c>
      <c r="I22" s="7">
        <v>111153</v>
      </c>
      <c r="J22" s="7">
        <v>625176</v>
      </c>
      <c r="K22" s="7">
        <v>48680</v>
      </c>
      <c r="L22" s="7">
        <v>3338899</v>
      </c>
    </row>
    <row r="23" spans="1:12" x14ac:dyDescent="0.35">
      <c r="A23" t="s">
        <v>80</v>
      </c>
      <c r="B23" s="7">
        <v>118156</v>
      </c>
      <c r="C23" s="7">
        <v>54</v>
      </c>
      <c r="D23" s="7">
        <v>157818</v>
      </c>
      <c r="E23" s="7">
        <v>240011</v>
      </c>
      <c r="F23" s="7"/>
      <c r="G23" s="7"/>
      <c r="H23" s="7">
        <v>170</v>
      </c>
      <c r="I23" s="7">
        <v>42638</v>
      </c>
      <c r="J23" s="7">
        <v>251473</v>
      </c>
      <c r="K23" s="7">
        <v>15586</v>
      </c>
      <c r="L23" s="7">
        <v>825907</v>
      </c>
    </row>
    <row r="24" spans="1:12" x14ac:dyDescent="0.35">
      <c r="A24" t="s">
        <v>82</v>
      </c>
      <c r="B24" s="7">
        <v>104</v>
      </c>
      <c r="C24" s="7"/>
      <c r="D24" s="7">
        <v>1006225</v>
      </c>
      <c r="E24" s="7">
        <v>22103</v>
      </c>
      <c r="F24" s="7"/>
      <c r="G24" s="7"/>
      <c r="H24" s="7"/>
      <c r="I24" s="7">
        <v>2866</v>
      </c>
      <c r="J24" s="7">
        <v>8484</v>
      </c>
      <c r="K24" s="7"/>
      <c r="L24" s="7">
        <v>1039782</v>
      </c>
    </row>
    <row r="25" spans="1:12" x14ac:dyDescent="0.35">
      <c r="A25" t="s">
        <v>86</v>
      </c>
      <c r="B25" s="7">
        <v>24350</v>
      </c>
      <c r="C25" s="7"/>
      <c r="D25" s="7">
        <v>128354</v>
      </c>
      <c r="E25" s="7">
        <v>235853</v>
      </c>
      <c r="F25" s="7"/>
      <c r="G25" s="7"/>
      <c r="H25" s="7">
        <v>2451</v>
      </c>
      <c r="I25" s="7">
        <v>61591</v>
      </c>
      <c r="J25" s="7">
        <v>191136</v>
      </c>
      <c r="K25" s="7">
        <v>23722</v>
      </c>
      <c r="L25" s="7">
        <v>667458</v>
      </c>
    </row>
    <row r="26" spans="1:12" x14ac:dyDescent="0.35">
      <c r="A26" t="s">
        <v>88</v>
      </c>
      <c r="B26" s="7">
        <v>5828</v>
      </c>
      <c r="C26" s="7"/>
      <c r="D26" s="7">
        <v>81296</v>
      </c>
      <c r="E26" s="7">
        <v>119949</v>
      </c>
      <c r="F26" s="7"/>
      <c r="G26" s="7"/>
      <c r="H26" s="7">
        <v>376</v>
      </c>
      <c r="I26" s="7">
        <v>2668</v>
      </c>
      <c r="J26" s="7">
        <v>166759</v>
      </c>
      <c r="K26" s="7">
        <v>7527</v>
      </c>
      <c r="L26" s="7">
        <v>384402</v>
      </c>
    </row>
    <row r="27" spans="1:12" x14ac:dyDescent="0.35">
      <c r="A27" t="s">
        <v>90</v>
      </c>
      <c r="B27" s="7">
        <v>1963</v>
      </c>
      <c r="C27" s="7"/>
      <c r="D27" s="7">
        <v>48691</v>
      </c>
      <c r="E27" s="7">
        <v>4885</v>
      </c>
      <c r="F27" s="7"/>
      <c r="G27" s="7"/>
      <c r="H27" s="7">
        <v>115</v>
      </c>
      <c r="I27" s="7">
        <v>1281</v>
      </c>
      <c r="J27" s="7">
        <v>5879</v>
      </c>
      <c r="K27" s="7">
        <v>353</v>
      </c>
      <c r="L27" s="7">
        <v>63166</v>
      </c>
    </row>
    <row r="28" spans="1:12" x14ac:dyDescent="0.35">
      <c r="A28" t="s">
        <v>92</v>
      </c>
      <c r="B28" s="7">
        <v>31</v>
      </c>
      <c r="C28" s="7"/>
      <c r="D28" s="7">
        <v>3925</v>
      </c>
      <c r="E28" s="7">
        <v>2</v>
      </c>
      <c r="F28" s="7"/>
      <c r="G28" s="7"/>
      <c r="H28" s="7">
        <v>11</v>
      </c>
      <c r="I28" s="7"/>
      <c r="J28" s="7">
        <v>53</v>
      </c>
      <c r="K28" s="7">
        <v>3</v>
      </c>
      <c r="L28" s="7">
        <v>4025</v>
      </c>
    </row>
    <row r="29" spans="1:12" x14ac:dyDescent="0.35">
      <c r="A29" t="s">
        <v>94</v>
      </c>
      <c r="B29" s="7">
        <v>547</v>
      </c>
      <c r="C29" s="7"/>
      <c r="D29" s="7">
        <v>5728</v>
      </c>
      <c r="E29" s="7">
        <v>5613</v>
      </c>
      <c r="F29" s="7"/>
      <c r="G29" s="7"/>
      <c r="H29" s="7">
        <v>630</v>
      </c>
      <c r="I29" s="7">
        <v>110</v>
      </c>
      <c r="J29" s="7">
        <v>1392</v>
      </c>
      <c r="K29" s="7">
        <v>1489</v>
      </c>
      <c r="L29" s="7">
        <v>15510</v>
      </c>
    </row>
    <row r="30" spans="1:12" x14ac:dyDescent="0.35">
      <c r="A30" t="s">
        <v>236</v>
      </c>
      <c r="B30" s="7">
        <v>2925</v>
      </c>
      <c r="C30" s="7">
        <v>3031</v>
      </c>
      <c r="D30" s="7">
        <v>297362</v>
      </c>
      <c r="E30" s="7">
        <v>35330</v>
      </c>
      <c r="F30" s="7"/>
      <c r="G30" s="7"/>
      <c r="H30" s="7"/>
      <c r="I30" s="7"/>
      <c r="J30" s="7"/>
      <c r="K30" s="7"/>
      <c r="L30" s="7">
        <v>338647</v>
      </c>
    </row>
    <row r="32" spans="1:12" x14ac:dyDescent="0.35">
      <c r="B32" s="7">
        <f>SUM(B9,B10:B21,B22*-1)</f>
        <v>-1</v>
      </c>
      <c r="C32" s="7">
        <f t="shared" ref="C32:L32" si="0">SUM(C9,C10:C21,C22*-1)</f>
        <v>2</v>
      </c>
      <c r="D32" s="7">
        <f t="shared" si="0"/>
        <v>1</v>
      </c>
      <c r="E32" s="7">
        <f t="shared" si="0"/>
        <v>-1</v>
      </c>
      <c r="F32" s="7">
        <f t="shared" si="0"/>
        <v>0</v>
      </c>
      <c r="G32" s="7">
        <f t="shared" si="0"/>
        <v>0</v>
      </c>
      <c r="H32" s="7">
        <f t="shared" si="0"/>
        <v>1</v>
      </c>
      <c r="I32" s="7">
        <f t="shared" si="0"/>
        <v>2</v>
      </c>
      <c r="J32" s="7">
        <f t="shared" si="0"/>
        <v>1</v>
      </c>
      <c r="K32" s="7">
        <f t="shared" si="0"/>
        <v>1</v>
      </c>
      <c r="L32" s="7">
        <f t="shared" si="0"/>
        <v>-2</v>
      </c>
    </row>
  </sheetData>
  <pageMargins left="0.7" right="0.7" top="0.75" bottom="0.75" header="0.3" footer="0.3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 codeName="Ark55"/>
  <dimension ref="A1:L32"/>
  <sheetViews>
    <sheetView workbookViewId="0">
      <selection activeCell="A3" sqref="A3:L30"/>
    </sheetView>
  </sheetViews>
  <sheetFormatPr defaultRowHeight="14.5" x14ac:dyDescent="0.35"/>
  <cols>
    <col min="1" max="1" width="30" customWidth="1"/>
    <col min="2" max="2" width="11.54296875" customWidth="1"/>
    <col min="3" max="3" width="12" customWidth="1"/>
    <col min="4" max="4" width="14.54296875" customWidth="1"/>
    <col min="5" max="5" width="14.1796875" customWidth="1"/>
    <col min="8" max="8" width="22.81640625" customWidth="1"/>
    <col min="9" max="9" width="21.81640625" customWidth="1"/>
    <col min="10" max="10" width="13.81640625" customWidth="1"/>
    <col min="11" max="11" width="12.26953125" customWidth="1"/>
    <col min="12" max="12" width="11.81640625" customWidth="1"/>
  </cols>
  <sheetData>
    <row r="1" spans="1:12" x14ac:dyDescent="0.35">
      <c r="B1" t="s">
        <v>214</v>
      </c>
      <c r="C1" t="s">
        <v>2</v>
      </c>
      <c r="D1" t="s">
        <v>215</v>
      </c>
      <c r="E1" t="s">
        <v>216</v>
      </c>
      <c r="F1" t="s">
        <v>5</v>
      </c>
      <c r="G1" t="s">
        <v>6</v>
      </c>
      <c r="H1" t="s">
        <v>217</v>
      </c>
      <c r="I1" t="s">
        <v>8</v>
      </c>
      <c r="J1" t="s">
        <v>9</v>
      </c>
      <c r="K1" t="s">
        <v>10</v>
      </c>
      <c r="L1" t="s">
        <v>218</v>
      </c>
    </row>
    <row r="2" spans="1:12" x14ac:dyDescent="0.35">
      <c r="B2" t="s">
        <v>219</v>
      </c>
      <c r="C2" t="s">
        <v>219</v>
      </c>
      <c r="D2" t="s">
        <v>219</v>
      </c>
      <c r="E2" t="s">
        <v>219</v>
      </c>
      <c r="F2" t="s">
        <v>219</v>
      </c>
      <c r="G2" t="s">
        <v>219</v>
      </c>
      <c r="H2" t="s">
        <v>219</v>
      </c>
      <c r="I2" t="s">
        <v>219</v>
      </c>
      <c r="J2" t="s">
        <v>219</v>
      </c>
      <c r="K2" t="s">
        <v>219</v>
      </c>
      <c r="L2" t="s">
        <v>219</v>
      </c>
    </row>
    <row r="3" spans="1:12" x14ac:dyDescent="0.35">
      <c r="A3" t="s">
        <v>17</v>
      </c>
      <c r="B3" s="7">
        <v>967177</v>
      </c>
      <c r="C3" s="7">
        <v>1041165</v>
      </c>
      <c r="D3" s="7"/>
      <c r="E3" s="7">
        <v>910442</v>
      </c>
      <c r="F3" s="7">
        <v>588319</v>
      </c>
      <c r="G3" s="7">
        <v>115316</v>
      </c>
      <c r="H3" s="7">
        <v>36866</v>
      </c>
      <c r="I3" s="7">
        <v>185325</v>
      </c>
      <c r="J3" s="7"/>
      <c r="K3" s="7">
        <v>587</v>
      </c>
      <c r="L3" s="7">
        <v>3845198</v>
      </c>
    </row>
    <row r="4" spans="1:12" x14ac:dyDescent="0.35">
      <c r="A4" t="s">
        <v>220</v>
      </c>
      <c r="B4" s="7">
        <v>303975</v>
      </c>
      <c r="C4" s="7">
        <v>1613216</v>
      </c>
      <c r="D4" s="7">
        <v>444090</v>
      </c>
      <c r="E4" s="7">
        <v>426280</v>
      </c>
      <c r="F4" s="7"/>
      <c r="G4" s="7"/>
      <c r="H4" s="7"/>
      <c r="I4" s="7">
        <v>1053</v>
      </c>
      <c r="J4" s="7">
        <v>30590</v>
      </c>
      <c r="K4" s="7">
        <v>3</v>
      </c>
      <c r="L4" s="7">
        <v>2819208</v>
      </c>
    </row>
    <row r="5" spans="1:12" x14ac:dyDescent="0.35">
      <c r="A5" t="s">
        <v>221</v>
      </c>
      <c r="B5" s="7">
        <v>-210075</v>
      </c>
      <c r="C5" s="7">
        <v>-472440</v>
      </c>
      <c r="D5" s="7">
        <v>-337391</v>
      </c>
      <c r="E5" s="7">
        <v>-188791</v>
      </c>
      <c r="F5" s="7"/>
      <c r="G5" s="7"/>
      <c r="H5" s="7"/>
      <c r="I5" s="7">
        <v>-590</v>
      </c>
      <c r="J5" s="7">
        <v>-30502</v>
      </c>
      <c r="K5" s="7">
        <v>-7</v>
      </c>
      <c r="L5" s="7">
        <v>-1239796</v>
      </c>
    </row>
    <row r="6" spans="1:12" x14ac:dyDescent="0.35">
      <c r="A6" t="s">
        <v>222</v>
      </c>
      <c r="B6" s="7"/>
      <c r="C6" s="7"/>
      <c r="D6" s="7">
        <v>-89419</v>
      </c>
      <c r="E6" s="7"/>
      <c r="F6" s="7"/>
      <c r="G6" s="7"/>
      <c r="H6" s="7"/>
      <c r="I6" s="7"/>
      <c r="J6" s="7"/>
      <c r="K6" s="7"/>
      <c r="L6" s="7">
        <v>-89419</v>
      </c>
    </row>
    <row r="7" spans="1:12" x14ac:dyDescent="0.35">
      <c r="A7" t="s">
        <v>223</v>
      </c>
      <c r="B7" s="7"/>
      <c r="C7" s="7"/>
      <c r="D7" s="7">
        <v>-74738</v>
      </c>
      <c r="E7" s="7"/>
      <c r="F7" s="7"/>
      <c r="G7" s="7"/>
      <c r="H7" s="7"/>
      <c r="I7" s="7"/>
      <c r="J7" s="7"/>
      <c r="K7" s="7"/>
      <c r="L7" s="7">
        <v>-74738</v>
      </c>
    </row>
    <row r="8" spans="1:12" x14ac:dyDescent="0.35">
      <c r="A8" t="s">
        <v>224</v>
      </c>
      <c r="B8" s="7">
        <v>40148</v>
      </c>
      <c r="C8" s="7">
        <v>1028</v>
      </c>
      <c r="D8" s="7">
        <v>-8115</v>
      </c>
      <c r="E8" s="7">
        <v>18128</v>
      </c>
      <c r="F8" s="7"/>
      <c r="G8" s="7"/>
      <c r="H8" s="7"/>
      <c r="I8" s="7">
        <v>105</v>
      </c>
      <c r="J8" s="7"/>
      <c r="K8" s="7"/>
      <c r="L8" s="7">
        <v>51294</v>
      </c>
    </row>
    <row r="9" spans="1:12" x14ac:dyDescent="0.35">
      <c r="A9" t="s">
        <v>225</v>
      </c>
      <c r="B9" s="7">
        <v>1101225</v>
      </c>
      <c r="C9" s="7">
        <v>2182969</v>
      </c>
      <c r="D9" s="7">
        <v>-65573</v>
      </c>
      <c r="E9" s="7">
        <v>1166058</v>
      </c>
      <c r="F9" s="7">
        <v>588319</v>
      </c>
      <c r="G9" s="7">
        <v>115316</v>
      </c>
      <c r="H9" s="7">
        <v>36866</v>
      </c>
      <c r="I9" s="7">
        <v>185893</v>
      </c>
      <c r="J9" s="7">
        <v>88</v>
      </c>
      <c r="K9" s="7">
        <v>584</v>
      </c>
      <c r="L9" s="7">
        <v>5311747</v>
      </c>
    </row>
    <row r="10" spans="1:12" x14ac:dyDescent="0.35">
      <c r="A10" t="s">
        <v>226</v>
      </c>
      <c r="B10" s="7"/>
      <c r="C10" s="7">
        <v>-45167</v>
      </c>
      <c r="D10" s="7">
        <v>59885</v>
      </c>
      <c r="E10" s="7"/>
      <c r="F10" s="7"/>
      <c r="G10" s="7"/>
      <c r="H10" s="7"/>
      <c r="I10" s="7"/>
      <c r="J10" s="7"/>
      <c r="K10" s="7"/>
      <c r="L10" s="7">
        <v>14718</v>
      </c>
    </row>
    <row r="11" spans="1:12" x14ac:dyDescent="0.35">
      <c r="A11" t="s">
        <v>227</v>
      </c>
      <c r="B11" s="7">
        <v>12002</v>
      </c>
      <c r="C11" s="7">
        <v>-8152</v>
      </c>
      <c r="D11" s="7">
        <v>27953</v>
      </c>
      <c r="E11" s="7">
        <v>-9286</v>
      </c>
      <c r="F11" s="7"/>
      <c r="G11" s="7"/>
      <c r="H11" s="7">
        <v>-15</v>
      </c>
      <c r="I11" s="7">
        <v>115</v>
      </c>
      <c r="J11" s="7">
        <v>398</v>
      </c>
      <c r="K11" s="7">
        <v>-156</v>
      </c>
      <c r="L11" s="7">
        <v>22858</v>
      </c>
    </row>
    <row r="12" spans="1:12" x14ac:dyDescent="0.35">
      <c r="A12" t="s">
        <v>228</v>
      </c>
      <c r="B12" s="7">
        <v>-803323</v>
      </c>
      <c r="C12" s="7">
        <v>-7742</v>
      </c>
      <c r="D12" s="7">
        <v>-135316</v>
      </c>
      <c r="E12" s="7">
        <v>-228268</v>
      </c>
      <c r="F12" s="7">
        <v>-582339</v>
      </c>
      <c r="G12" s="7">
        <v>-115316</v>
      </c>
      <c r="H12" s="7">
        <v>-29688</v>
      </c>
      <c r="I12" s="7">
        <v>-21052</v>
      </c>
      <c r="J12" s="7">
        <v>763361</v>
      </c>
      <c r="K12" s="7">
        <v>-125</v>
      </c>
      <c r="L12" s="7">
        <v>-1159808</v>
      </c>
    </row>
    <row r="13" spans="1:12" x14ac:dyDescent="0.35">
      <c r="A13" t="s">
        <v>66</v>
      </c>
      <c r="B13" s="7">
        <v>-83461</v>
      </c>
      <c r="C13" s="7">
        <v>-831</v>
      </c>
      <c r="D13" s="7">
        <v>-19364</v>
      </c>
      <c r="E13" s="7">
        <v>-84914</v>
      </c>
      <c r="F13" s="7">
        <v>-5981</v>
      </c>
      <c r="G13" s="7"/>
      <c r="H13" s="7">
        <v>-885</v>
      </c>
      <c r="I13" s="7">
        <v>-21815</v>
      </c>
      <c r="J13" s="7">
        <v>75026</v>
      </c>
      <c r="K13" s="7">
        <v>43283</v>
      </c>
      <c r="L13" s="7">
        <v>-98940</v>
      </c>
    </row>
    <row r="14" spans="1:12" x14ac:dyDescent="0.35">
      <c r="A14" t="s">
        <v>229</v>
      </c>
      <c r="B14" s="7">
        <v>-5130</v>
      </c>
      <c r="C14" s="7">
        <v>-2</v>
      </c>
      <c r="D14" s="7">
        <v>-3358</v>
      </c>
      <c r="E14" s="7">
        <v>-7385</v>
      </c>
      <c r="F14" s="7"/>
      <c r="G14" s="7"/>
      <c r="H14" s="7">
        <v>-458</v>
      </c>
      <c r="I14" s="7">
        <v>-2951</v>
      </c>
      <c r="J14" s="7">
        <v>-524</v>
      </c>
      <c r="K14" s="7">
        <v>16315</v>
      </c>
      <c r="L14" s="7">
        <v>-3492</v>
      </c>
    </row>
    <row r="15" spans="1:12" x14ac:dyDescent="0.35">
      <c r="A15" t="s">
        <v>230</v>
      </c>
      <c r="B15" s="7">
        <v>-1910</v>
      </c>
      <c r="C15" s="7"/>
      <c r="D15" s="7">
        <v>-4266</v>
      </c>
      <c r="E15" s="7">
        <v>5085</v>
      </c>
      <c r="F15" s="7"/>
      <c r="G15" s="7"/>
      <c r="H15" s="7"/>
      <c r="I15" s="7">
        <v>-19</v>
      </c>
      <c r="J15" s="7"/>
      <c r="K15" s="7"/>
      <c r="L15" s="7">
        <v>-1111</v>
      </c>
    </row>
    <row r="16" spans="1:12" x14ac:dyDescent="0.35">
      <c r="A16" t="s">
        <v>70</v>
      </c>
      <c r="B16" s="7"/>
      <c r="C16" s="7">
        <v>-2146057</v>
      </c>
      <c r="D16" s="7">
        <v>2140373</v>
      </c>
      <c r="E16" s="7"/>
      <c r="F16" s="7"/>
      <c r="G16" s="7"/>
      <c r="H16" s="7"/>
      <c r="I16" s="7"/>
      <c r="J16" s="7"/>
      <c r="K16" s="7"/>
      <c r="L16" s="7">
        <v>-5684</v>
      </c>
    </row>
    <row r="17" spans="1:12" x14ac:dyDescent="0.35">
      <c r="A17" t="s">
        <v>231</v>
      </c>
      <c r="B17" s="7">
        <v>-67990</v>
      </c>
      <c r="C17" s="7">
        <v>52</v>
      </c>
      <c r="D17" s="7">
        <v>-2761</v>
      </c>
      <c r="E17" s="7">
        <v>-194</v>
      </c>
      <c r="F17" s="7"/>
      <c r="G17" s="7"/>
      <c r="H17" s="7"/>
      <c r="I17" s="7"/>
      <c r="J17" s="7"/>
      <c r="K17" s="7"/>
      <c r="L17" s="7">
        <v>-70893</v>
      </c>
    </row>
    <row r="18" spans="1:12" x14ac:dyDescent="0.35">
      <c r="A18" t="s">
        <v>232</v>
      </c>
      <c r="B18" s="7">
        <v>-375</v>
      </c>
      <c r="C18" s="7">
        <v>229</v>
      </c>
      <c r="D18" s="7"/>
      <c r="E18" s="7"/>
      <c r="F18" s="7"/>
      <c r="G18" s="7"/>
      <c r="H18" s="7"/>
      <c r="I18" s="7"/>
      <c r="J18" s="7"/>
      <c r="K18" s="7"/>
      <c r="L18" s="7">
        <v>-146</v>
      </c>
    </row>
    <row r="19" spans="1:12" x14ac:dyDescent="0.35">
      <c r="A19" t="s">
        <v>233</v>
      </c>
      <c r="B19" s="7">
        <v>-142</v>
      </c>
      <c r="C19" s="7">
        <v>29726</v>
      </c>
      <c r="D19" s="7">
        <v>-29336</v>
      </c>
      <c r="E19" s="7">
        <v>-1774</v>
      </c>
      <c r="F19" s="7"/>
      <c r="G19" s="7"/>
      <c r="H19" s="7"/>
      <c r="I19" s="7">
        <v>-384</v>
      </c>
      <c r="J19" s="7"/>
      <c r="K19" s="7">
        <v>-237</v>
      </c>
      <c r="L19" s="7">
        <v>-2147</v>
      </c>
    </row>
    <row r="20" spans="1:12" x14ac:dyDescent="0.35">
      <c r="A20" t="s">
        <v>234</v>
      </c>
      <c r="B20" s="7">
        <v>-15901</v>
      </c>
      <c r="C20" s="7">
        <v>-754</v>
      </c>
      <c r="D20" s="7">
        <v>-124562</v>
      </c>
      <c r="E20" s="7">
        <v>-90245</v>
      </c>
      <c r="F20" s="7"/>
      <c r="G20" s="7"/>
      <c r="H20" s="7"/>
      <c r="I20" s="7">
        <v>-11</v>
      </c>
      <c r="J20" s="7">
        <v>-65335</v>
      </c>
      <c r="K20" s="7">
        <v>-3577</v>
      </c>
      <c r="L20" s="7">
        <v>-300385</v>
      </c>
    </row>
    <row r="21" spans="1:12" x14ac:dyDescent="0.35">
      <c r="A21" t="s">
        <v>235</v>
      </c>
      <c r="B21" s="7">
        <v>-815</v>
      </c>
      <c r="C21" s="7"/>
      <c r="D21" s="7">
        <v>-199</v>
      </c>
      <c r="E21" s="7">
        <v>-3893</v>
      </c>
      <c r="F21" s="7"/>
      <c r="G21" s="7"/>
      <c r="H21" s="7">
        <v>-7</v>
      </c>
      <c r="I21" s="7">
        <v>-1</v>
      </c>
      <c r="J21" s="7">
        <v>-54012</v>
      </c>
      <c r="K21" s="7">
        <v>-4185</v>
      </c>
      <c r="L21" s="7">
        <v>-63113</v>
      </c>
    </row>
    <row r="22" spans="1:12" x14ac:dyDescent="0.35">
      <c r="A22" t="s">
        <v>131</v>
      </c>
      <c r="B22" s="7">
        <v>134181</v>
      </c>
      <c r="C22" s="7">
        <v>4273</v>
      </c>
      <c r="D22" s="7">
        <v>1843476</v>
      </c>
      <c r="E22" s="7">
        <v>745184</v>
      </c>
      <c r="F22" s="7"/>
      <c r="G22" s="7"/>
      <c r="H22" s="7">
        <v>5812</v>
      </c>
      <c r="I22" s="7">
        <v>139775</v>
      </c>
      <c r="J22" s="7">
        <v>719002</v>
      </c>
      <c r="K22" s="7">
        <v>51901</v>
      </c>
      <c r="L22" s="7">
        <v>3643605</v>
      </c>
    </row>
    <row r="23" spans="1:12" x14ac:dyDescent="0.35">
      <c r="A23" t="s">
        <v>80</v>
      </c>
      <c r="B23" s="7">
        <v>113731</v>
      </c>
      <c r="C23" s="7">
        <v>37</v>
      </c>
      <c r="D23" s="7">
        <v>148713</v>
      </c>
      <c r="E23" s="7">
        <v>286299</v>
      </c>
      <c r="F23" s="7"/>
      <c r="G23" s="7"/>
      <c r="H23" s="7">
        <v>350</v>
      </c>
      <c r="I23" s="7">
        <v>70358</v>
      </c>
      <c r="J23" s="7">
        <v>281389</v>
      </c>
      <c r="K23" s="7">
        <v>17994</v>
      </c>
      <c r="L23" s="7">
        <v>918871</v>
      </c>
    </row>
    <row r="24" spans="1:12" x14ac:dyDescent="0.35">
      <c r="A24" t="s">
        <v>82</v>
      </c>
      <c r="B24" s="7">
        <v>101</v>
      </c>
      <c r="C24" s="7"/>
      <c r="D24" s="7">
        <v>1115161</v>
      </c>
      <c r="E24" s="7">
        <v>20995</v>
      </c>
      <c r="F24" s="7"/>
      <c r="G24" s="7"/>
      <c r="H24" s="7"/>
      <c r="I24" s="7">
        <v>4033</v>
      </c>
      <c r="J24" s="7">
        <v>9006</v>
      </c>
      <c r="K24" s="7"/>
      <c r="L24" s="7">
        <v>1149297</v>
      </c>
    </row>
    <row r="25" spans="1:12" x14ac:dyDescent="0.35">
      <c r="A25" t="s">
        <v>86</v>
      </c>
      <c r="B25" s="7">
        <v>13473</v>
      </c>
      <c r="C25" s="7"/>
      <c r="D25" s="7">
        <v>129140</v>
      </c>
      <c r="E25" s="7">
        <v>258321</v>
      </c>
      <c r="F25" s="7"/>
      <c r="G25" s="7"/>
      <c r="H25" s="7">
        <v>4503</v>
      </c>
      <c r="I25" s="7">
        <v>59068</v>
      </c>
      <c r="J25" s="7">
        <v>214911</v>
      </c>
      <c r="K25" s="7">
        <v>21551</v>
      </c>
      <c r="L25" s="7">
        <v>700967</v>
      </c>
    </row>
    <row r="26" spans="1:12" x14ac:dyDescent="0.35">
      <c r="A26" t="s">
        <v>88</v>
      </c>
      <c r="B26" s="7">
        <v>2959</v>
      </c>
      <c r="C26" s="7"/>
      <c r="D26" s="7">
        <v>75765</v>
      </c>
      <c r="E26" s="7">
        <v>127021</v>
      </c>
      <c r="F26" s="7"/>
      <c r="G26" s="7"/>
      <c r="H26" s="7">
        <v>735</v>
      </c>
      <c r="I26" s="7">
        <v>3016</v>
      </c>
      <c r="J26" s="7">
        <v>206265</v>
      </c>
      <c r="K26" s="7">
        <v>8584</v>
      </c>
      <c r="L26" s="7">
        <v>424346</v>
      </c>
    </row>
    <row r="27" spans="1:12" x14ac:dyDescent="0.35">
      <c r="A27" t="s">
        <v>90</v>
      </c>
      <c r="B27" s="7">
        <v>1091</v>
      </c>
      <c r="C27" s="7"/>
      <c r="D27" s="7">
        <v>46964</v>
      </c>
      <c r="E27" s="7">
        <v>4948</v>
      </c>
      <c r="F27" s="7"/>
      <c r="G27" s="7"/>
      <c r="H27" s="7">
        <v>146</v>
      </c>
      <c r="I27" s="7">
        <v>1213</v>
      </c>
      <c r="J27" s="7">
        <v>6611</v>
      </c>
      <c r="K27" s="7">
        <v>492</v>
      </c>
      <c r="L27" s="7">
        <v>61465</v>
      </c>
    </row>
    <row r="28" spans="1:12" x14ac:dyDescent="0.35">
      <c r="A28" t="s">
        <v>92</v>
      </c>
      <c r="B28" s="7">
        <v>9</v>
      </c>
      <c r="C28" s="7"/>
      <c r="D28" s="7">
        <v>4372</v>
      </c>
      <c r="E28" s="7">
        <v>1</v>
      </c>
      <c r="F28" s="7"/>
      <c r="G28" s="7"/>
      <c r="H28" s="7">
        <v>67</v>
      </c>
      <c r="I28" s="7"/>
      <c r="J28" s="7">
        <v>53</v>
      </c>
      <c r="K28" s="7">
        <v>4</v>
      </c>
      <c r="L28" s="7">
        <v>4506</v>
      </c>
    </row>
    <row r="29" spans="1:12" x14ac:dyDescent="0.35">
      <c r="A29" t="s">
        <v>94</v>
      </c>
      <c r="B29" s="7">
        <v>309</v>
      </c>
      <c r="C29" s="7"/>
      <c r="D29" s="7">
        <v>3828</v>
      </c>
      <c r="E29" s="7">
        <v>6556</v>
      </c>
      <c r="F29" s="7"/>
      <c r="G29" s="7"/>
      <c r="H29" s="7">
        <v>12</v>
      </c>
      <c r="I29" s="7">
        <v>2086</v>
      </c>
      <c r="J29" s="7">
        <v>767</v>
      </c>
      <c r="K29" s="7">
        <v>3276</v>
      </c>
      <c r="L29" s="7">
        <v>16834</v>
      </c>
    </row>
    <row r="30" spans="1:12" x14ac:dyDescent="0.35">
      <c r="A30" t="s">
        <v>236</v>
      </c>
      <c r="B30" s="7">
        <v>2507</v>
      </c>
      <c r="C30" s="7">
        <v>4235</v>
      </c>
      <c r="D30" s="7">
        <v>319533</v>
      </c>
      <c r="E30" s="7">
        <v>41044</v>
      </c>
      <c r="F30" s="7"/>
      <c r="G30" s="7"/>
      <c r="H30" s="7"/>
      <c r="I30" s="7"/>
      <c r="J30" s="7"/>
      <c r="K30" s="7"/>
      <c r="L30" s="7">
        <v>367319</v>
      </c>
    </row>
    <row r="32" spans="1:12" x14ac:dyDescent="0.35">
      <c r="B32" s="7">
        <f>SUM(B9,B10:B21,B22*-1)</f>
        <v>-1</v>
      </c>
      <c r="C32" s="7">
        <f t="shared" ref="C32:L32" si="0">SUM(C9,C10:C21,C22*-1)</f>
        <v>-2</v>
      </c>
      <c r="D32" s="7">
        <f t="shared" si="0"/>
        <v>0</v>
      </c>
      <c r="E32" s="7">
        <f t="shared" si="0"/>
        <v>0</v>
      </c>
      <c r="F32" s="7">
        <f t="shared" si="0"/>
        <v>-1</v>
      </c>
      <c r="G32" s="7">
        <f t="shared" si="0"/>
        <v>0</v>
      </c>
      <c r="H32" s="7">
        <f t="shared" si="0"/>
        <v>1</v>
      </c>
      <c r="I32" s="7">
        <f t="shared" si="0"/>
        <v>0</v>
      </c>
      <c r="J32" s="7">
        <f t="shared" si="0"/>
        <v>0</v>
      </c>
      <c r="K32" s="7">
        <f t="shared" si="0"/>
        <v>1</v>
      </c>
      <c r="L32" s="7">
        <f t="shared" si="0"/>
        <v>-1</v>
      </c>
    </row>
  </sheetData>
  <pageMargins left="0.7" right="0.7" top="0.75" bottom="0.75" header="0.3" footer="0.3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 codeName="Ark56"/>
  <dimension ref="A1:L32"/>
  <sheetViews>
    <sheetView workbookViewId="0">
      <selection activeCell="A3" sqref="A3:L30"/>
    </sheetView>
  </sheetViews>
  <sheetFormatPr defaultRowHeight="14.5" x14ac:dyDescent="0.35"/>
  <cols>
    <col min="1" max="1" width="30" customWidth="1"/>
    <col min="2" max="2" width="11.54296875" customWidth="1"/>
    <col min="3" max="3" width="12" customWidth="1"/>
    <col min="4" max="4" width="14.54296875" customWidth="1"/>
    <col min="5" max="5" width="14.1796875" customWidth="1"/>
    <col min="8" max="8" width="22.81640625" customWidth="1"/>
    <col min="9" max="9" width="21.81640625" customWidth="1"/>
    <col min="10" max="10" width="13.81640625" customWidth="1"/>
    <col min="11" max="11" width="12.26953125" customWidth="1"/>
    <col min="12" max="12" width="11.81640625" customWidth="1"/>
  </cols>
  <sheetData>
    <row r="1" spans="1:12" x14ac:dyDescent="0.35">
      <c r="B1" t="s">
        <v>214</v>
      </c>
      <c r="C1" t="s">
        <v>2</v>
      </c>
      <c r="D1" t="s">
        <v>215</v>
      </c>
      <c r="E1" t="s">
        <v>216</v>
      </c>
      <c r="F1" t="s">
        <v>5</v>
      </c>
      <c r="G1" t="s">
        <v>6</v>
      </c>
      <c r="H1" t="s">
        <v>217</v>
      </c>
      <c r="I1" t="s">
        <v>8</v>
      </c>
      <c r="J1" t="s">
        <v>9</v>
      </c>
      <c r="K1" t="s">
        <v>10</v>
      </c>
      <c r="L1" t="s">
        <v>218</v>
      </c>
    </row>
    <row r="2" spans="1:12" x14ac:dyDescent="0.35">
      <c r="B2" t="s">
        <v>219</v>
      </c>
      <c r="C2" t="s">
        <v>219</v>
      </c>
      <c r="D2" t="s">
        <v>219</v>
      </c>
      <c r="E2" t="s">
        <v>219</v>
      </c>
      <c r="F2" t="s">
        <v>219</v>
      </c>
      <c r="G2" t="s">
        <v>219</v>
      </c>
      <c r="H2" t="s">
        <v>219</v>
      </c>
      <c r="I2" t="s">
        <v>219</v>
      </c>
      <c r="J2" t="s">
        <v>219</v>
      </c>
      <c r="K2" t="s">
        <v>219</v>
      </c>
      <c r="L2" t="s">
        <v>219</v>
      </c>
    </row>
    <row r="3" spans="1:12" x14ac:dyDescent="0.35">
      <c r="A3" t="s">
        <v>17</v>
      </c>
      <c r="B3" s="7">
        <v>1011670</v>
      </c>
      <c r="C3" s="7">
        <v>956443</v>
      </c>
      <c r="D3" s="7"/>
      <c r="E3" s="7">
        <v>909807</v>
      </c>
      <c r="F3" s="7">
        <v>615592</v>
      </c>
      <c r="G3" s="7">
        <v>112042</v>
      </c>
      <c r="H3" s="7">
        <v>40404</v>
      </c>
      <c r="I3" s="7">
        <v>213710</v>
      </c>
      <c r="J3" s="7"/>
      <c r="K3" s="7">
        <v>677</v>
      </c>
      <c r="L3" s="7">
        <v>3860344</v>
      </c>
    </row>
    <row r="4" spans="1:12" x14ac:dyDescent="0.35">
      <c r="A4" t="s">
        <v>220</v>
      </c>
      <c r="B4" s="7">
        <v>361960</v>
      </c>
      <c r="C4" s="7">
        <v>1703936</v>
      </c>
      <c r="D4" s="7">
        <v>553382</v>
      </c>
      <c r="E4" s="7">
        <v>556736</v>
      </c>
      <c r="F4" s="7"/>
      <c r="G4" s="7"/>
      <c r="H4" s="7"/>
      <c r="I4" s="7">
        <v>4784</v>
      </c>
      <c r="J4" s="7">
        <v>37170</v>
      </c>
      <c r="K4" s="7">
        <v>4</v>
      </c>
      <c r="L4" s="7">
        <v>3217971</v>
      </c>
    </row>
    <row r="5" spans="1:12" x14ac:dyDescent="0.35">
      <c r="A5" t="s">
        <v>221</v>
      </c>
      <c r="B5" s="7">
        <v>-225059</v>
      </c>
      <c r="C5" s="7">
        <v>-404900</v>
      </c>
      <c r="D5" s="7">
        <v>-421748</v>
      </c>
      <c r="E5" s="7">
        <v>-256977</v>
      </c>
      <c r="F5" s="7"/>
      <c r="G5" s="7"/>
      <c r="H5" s="7"/>
      <c r="I5" s="7">
        <v>-2296</v>
      </c>
      <c r="J5" s="7">
        <v>-35885</v>
      </c>
      <c r="K5" s="7">
        <v>-9</v>
      </c>
      <c r="L5" s="7">
        <v>-1346875</v>
      </c>
    </row>
    <row r="6" spans="1:12" x14ac:dyDescent="0.35">
      <c r="A6" t="s">
        <v>222</v>
      </c>
      <c r="B6" s="7"/>
      <c r="C6" s="7"/>
      <c r="D6" s="7">
        <v>-96032</v>
      </c>
      <c r="E6" s="7"/>
      <c r="F6" s="7"/>
      <c r="G6" s="7"/>
      <c r="H6" s="7"/>
      <c r="I6" s="7"/>
      <c r="J6" s="7"/>
      <c r="K6" s="7"/>
      <c r="L6" s="7">
        <v>-96032</v>
      </c>
    </row>
    <row r="7" spans="1:12" x14ac:dyDescent="0.35">
      <c r="A7" t="s">
        <v>223</v>
      </c>
      <c r="B7" s="7"/>
      <c r="C7" s="7"/>
      <c r="D7" s="7">
        <v>-86224</v>
      </c>
      <c r="E7" s="7"/>
      <c r="F7" s="7"/>
      <c r="G7" s="7"/>
      <c r="H7" s="7"/>
      <c r="I7" s="7"/>
      <c r="J7" s="7"/>
      <c r="K7" s="7"/>
      <c r="L7" s="7">
        <v>-86224</v>
      </c>
    </row>
    <row r="8" spans="1:12" x14ac:dyDescent="0.35">
      <c r="A8" t="s">
        <v>224</v>
      </c>
      <c r="B8" s="7">
        <v>648</v>
      </c>
      <c r="C8" s="7">
        <v>-8106</v>
      </c>
      <c r="D8" s="7">
        <v>-2946</v>
      </c>
      <c r="E8" s="7">
        <v>8929</v>
      </c>
      <c r="F8" s="7"/>
      <c r="G8" s="7"/>
      <c r="H8" s="7"/>
      <c r="I8" s="7">
        <v>18</v>
      </c>
      <c r="J8" s="7"/>
      <c r="K8" s="7"/>
      <c r="L8" s="7">
        <v>-1457</v>
      </c>
    </row>
    <row r="9" spans="1:12" x14ac:dyDescent="0.35">
      <c r="A9" t="s">
        <v>225</v>
      </c>
      <c r="B9" s="7">
        <v>1149220</v>
      </c>
      <c r="C9" s="7">
        <v>2247372</v>
      </c>
      <c r="D9" s="7">
        <v>-53568</v>
      </c>
      <c r="E9" s="7">
        <v>1218494</v>
      </c>
      <c r="F9" s="7">
        <v>615592</v>
      </c>
      <c r="G9" s="7">
        <v>112042</v>
      </c>
      <c r="H9" s="7">
        <v>40404</v>
      </c>
      <c r="I9" s="7">
        <v>216216</v>
      </c>
      <c r="J9" s="7">
        <v>1285</v>
      </c>
      <c r="K9" s="7">
        <v>671</v>
      </c>
      <c r="L9" s="7">
        <v>5547728</v>
      </c>
    </row>
    <row r="10" spans="1:12" x14ac:dyDescent="0.35">
      <c r="A10" t="s">
        <v>226</v>
      </c>
      <c r="B10" s="7"/>
      <c r="C10" s="7">
        <v>-65900</v>
      </c>
      <c r="D10" s="7">
        <v>77605</v>
      </c>
      <c r="E10" s="7"/>
      <c r="F10" s="7"/>
      <c r="G10" s="7"/>
      <c r="H10" s="7"/>
      <c r="I10" s="7"/>
      <c r="J10" s="7"/>
      <c r="K10" s="7"/>
      <c r="L10" s="7">
        <v>11704</v>
      </c>
    </row>
    <row r="11" spans="1:12" x14ac:dyDescent="0.35">
      <c r="A11" t="s">
        <v>227</v>
      </c>
      <c r="B11" s="7">
        <v>-18176</v>
      </c>
      <c r="C11" s="7">
        <v>-8635</v>
      </c>
      <c r="D11" s="7">
        <v>-6235</v>
      </c>
      <c r="E11" s="7">
        <v>3594</v>
      </c>
      <c r="F11" s="7"/>
      <c r="G11" s="7"/>
      <c r="H11" s="7">
        <v>-15</v>
      </c>
      <c r="I11" s="7">
        <v>-161</v>
      </c>
      <c r="J11" s="7">
        <v>429</v>
      </c>
      <c r="K11" s="7">
        <v>155</v>
      </c>
      <c r="L11" s="7">
        <v>-29043</v>
      </c>
    </row>
    <row r="12" spans="1:12" x14ac:dyDescent="0.35">
      <c r="A12" t="s">
        <v>228</v>
      </c>
      <c r="B12" s="7">
        <v>-838354</v>
      </c>
      <c r="C12" s="7">
        <v>-8210</v>
      </c>
      <c r="D12" s="7">
        <v>-96461</v>
      </c>
      <c r="E12" s="7">
        <v>-269268</v>
      </c>
      <c r="F12" s="7">
        <v>-604507</v>
      </c>
      <c r="G12" s="7">
        <v>-112042</v>
      </c>
      <c r="H12" s="7">
        <v>-32323</v>
      </c>
      <c r="I12" s="7">
        <v>-30145</v>
      </c>
      <c r="J12" s="7">
        <v>813118</v>
      </c>
      <c r="K12" s="7">
        <v>-313</v>
      </c>
      <c r="L12" s="7">
        <v>-1178505</v>
      </c>
    </row>
    <row r="13" spans="1:12" x14ac:dyDescent="0.35">
      <c r="A13" t="s">
        <v>66</v>
      </c>
      <c r="B13" s="7">
        <v>-85211</v>
      </c>
      <c r="C13" s="7">
        <v>-57</v>
      </c>
      <c r="D13" s="7">
        <v>-20111</v>
      </c>
      <c r="E13" s="7">
        <v>-116112</v>
      </c>
      <c r="F13" s="7">
        <v>-11085</v>
      </c>
      <c r="G13" s="7"/>
      <c r="H13" s="7">
        <v>-958</v>
      </c>
      <c r="I13" s="7">
        <v>-28290</v>
      </c>
      <c r="J13" s="7">
        <v>92627</v>
      </c>
      <c r="K13" s="7">
        <v>53181</v>
      </c>
      <c r="L13" s="7">
        <v>-116017</v>
      </c>
    </row>
    <row r="14" spans="1:12" x14ac:dyDescent="0.35">
      <c r="A14" t="s">
        <v>229</v>
      </c>
      <c r="B14" s="7">
        <v>-4535</v>
      </c>
      <c r="C14" s="7"/>
      <c r="D14" s="7">
        <v>-2765</v>
      </c>
      <c r="E14" s="7">
        <v>-9217</v>
      </c>
      <c r="F14" s="7"/>
      <c r="G14" s="7"/>
      <c r="H14" s="7">
        <v>-640</v>
      </c>
      <c r="I14" s="7">
        <v>-4263</v>
      </c>
      <c r="J14" s="7">
        <v>-366</v>
      </c>
      <c r="K14" s="7">
        <v>17317</v>
      </c>
      <c r="L14" s="7">
        <v>-4469</v>
      </c>
    </row>
    <row r="15" spans="1:12" x14ac:dyDescent="0.35">
      <c r="A15" t="s">
        <v>230</v>
      </c>
      <c r="B15" s="7">
        <v>-1862</v>
      </c>
      <c r="C15" s="7"/>
      <c r="D15" s="7">
        <v>-2967</v>
      </c>
      <c r="E15" s="7">
        <v>3803</v>
      </c>
      <c r="F15" s="7"/>
      <c r="G15" s="7"/>
      <c r="H15" s="7"/>
      <c r="I15" s="7">
        <v>-12</v>
      </c>
      <c r="J15" s="7"/>
      <c r="K15" s="7"/>
      <c r="L15" s="7">
        <v>-1038</v>
      </c>
    </row>
    <row r="16" spans="1:12" x14ac:dyDescent="0.35">
      <c r="A16" t="s">
        <v>70</v>
      </c>
      <c r="B16" s="7"/>
      <c r="C16" s="7">
        <v>-2189459</v>
      </c>
      <c r="D16" s="7">
        <v>2181117</v>
      </c>
      <c r="E16" s="7"/>
      <c r="F16" s="7"/>
      <c r="G16" s="7"/>
      <c r="H16" s="7"/>
      <c r="I16" s="7"/>
      <c r="J16" s="7"/>
      <c r="K16" s="7"/>
      <c r="L16" s="7">
        <v>-8342</v>
      </c>
    </row>
    <row r="17" spans="1:12" x14ac:dyDescent="0.35">
      <c r="A17" t="s">
        <v>231</v>
      </c>
      <c r="B17" s="7">
        <v>-57458</v>
      </c>
      <c r="C17" s="7">
        <v>23</v>
      </c>
      <c r="D17" s="7">
        <v>-2434</v>
      </c>
      <c r="E17" s="7">
        <v>-105</v>
      </c>
      <c r="F17" s="7"/>
      <c r="G17" s="7"/>
      <c r="H17" s="7"/>
      <c r="I17" s="7"/>
      <c r="J17" s="7"/>
      <c r="K17" s="7"/>
      <c r="L17" s="7">
        <v>-59974</v>
      </c>
    </row>
    <row r="18" spans="1:12" x14ac:dyDescent="0.35">
      <c r="A18" t="s">
        <v>232</v>
      </c>
      <c r="B18" s="7">
        <v>-495</v>
      </c>
      <c r="C18" s="7">
        <v>346</v>
      </c>
      <c r="D18" s="7"/>
      <c r="E18" s="7"/>
      <c r="F18" s="7"/>
      <c r="G18" s="7"/>
      <c r="H18" s="7"/>
      <c r="I18" s="7"/>
      <c r="J18" s="7"/>
      <c r="K18" s="7"/>
      <c r="L18" s="7">
        <v>-149</v>
      </c>
    </row>
    <row r="19" spans="1:12" x14ac:dyDescent="0.35">
      <c r="A19" t="s">
        <v>233</v>
      </c>
      <c r="B19" s="7">
        <v>-163</v>
      </c>
      <c r="C19" s="7">
        <v>29038</v>
      </c>
      <c r="D19" s="7">
        <v>-27339</v>
      </c>
      <c r="E19" s="7">
        <v>-2132</v>
      </c>
      <c r="F19" s="7"/>
      <c r="G19" s="7"/>
      <c r="H19" s="7"/>
      <c r="I19" s="7">
        <v>-336</v>
      </c>
      <c r="J19" s="7"/>
      <c r="K19" s="7">
        <v>-221</v>
      </c>
      <c r="L19" s="7">
        <v>-1154</v>
      </c>
    </row>
    <row r="20" spans="1:12" x14ac:dyDescent="0.35">
      <c r="A20" t="s">
        <v>234</v>
      </c>
      <c r="B20" s="7">
        <v>-14879</v>
      </c>
      <c r="C20" s="7">
        <v>-58</v>
      </c>
      <c r="D20" s="7">
        <v>-130233</v>
      </c>
      <c r="E20" s="7">
        <v>-105155</v>
      </c>
      <c r="F20" s="7"/>
      <c r="G20" s="7"/>
      <c r="H20" s="7"/>
      <c r="I20" s="7">
        <v>-109</v>
      </c>
      <c r="J20" s="7">
        <v>-66640</v>
      </c>
      <c r="K20" s="7">
        <v>-5210</v>
      </c>
      <c r="L20" s="7">
        <v>-322284</v>
      </c>
    </row>
    <row r="21" spans="1:12" x14ac:dyDescent="0.35">
      <c r="A21" t="s">
        <v>235</v>
      </c>
      <c r="B21" s="7">
        <v>-1259</v>
      </c>
      <c r="C21" s="7"/>
      <c r="D21" s="7">
        <v>-62</v>
      </c>
      <c r="E21" s="7">
        <v>-8052</v>
      </c>
      <c r="F21" s="7"/>
      <c r="G21" s="7"/>
      <c r="H21" s="7">
        <v>-8</v>
      </c>
      <c r="I21" s="7">
        <v>-141</v>
      </c>
      <c r="J21" s="7">
        <v>-56927</v>
      </c>
      <c r="K21" s="7">
        <v>-5181</v>
      </c>
      <c r="L21" s="7">
        <v>-71631</v>
      </c>
    </row>
    <row r="22" spans="1:12" x14ac:dyDescent="0.35">
      <c r="A22" t="s">
        <v>131</v>
      </c>
      <c r="B22" s="7">
        <v>126826</v>
      </c>
      <c r="C22" s="7">
        <v>4460</v>
      </c>
      <c r="D22" s="7">
        <v>1916547</v>
      </c>
      <c r="E22" s="7">
        <v>715850</v>
      </c>
      <c r="F22" s="7"/>
      <c r="G22" s="7"/>
      <c r="H22" s="7">
        <v>6460</v>
      </c>
      <c r="I22" s="7">
        <v>152758</v>
      </c>
      <c r="J22" s="7">
        <v>783526</v>
      </c>
      <c r="K22" s="7">
        <v>60400</v>
      </c>
      <c r="L22" s="7">
        <v>3766826</v>
      </c>
    </row>
    <row r="23" spans="1:12" x14ac:dyDescent="0.35">
      <c r="A23" t="s">
        <v>80</v>
      </c>
      <c r="B23" s="7">
        <v>105236</v>
      </c>
      <c r="C23" s="7">
        <v>55</v>
      </c>
      <c r="D23" s="7">
        <v>143392</v>
      </c>
      <c r="E23" s="7">
        <v>247449</v>
      </c>
      <c r="F23" s="7"/>
      <c r="G23" s="7"/>
      <c r="H23" s="7">
        <v>385</v>
      </c>
      <c r="I23" s="7">
        <v>70207</v>
      </c>
      <c r="J23" s="7">
        <v>272465</v>
      </c>
      <c r="K23" s="7">
        <v>22467</v>
      </c>
      <c r="L23" s="7">
        <v>861656</v>
      </c>
    </row>
    <row r="24" spans="1:12" x14ac:dyDescent="0.35">
      <c r="A24" t="s">
        <v>82</v>
      </c>
      <c r="B24" s="7">
        <v>192</v>
      </c>
      <c r="C24" s="7"/>
      <c r="D24" s="7">
        <v>1179106</v>
      </c>
      <c r="E24" s="7">
        <v>21888</v>
      </c>
      <c r="F24" s="7"/>
      <c r="G24" s="7"/>
      <c r="H24" s="7"/>
      <c r="I24" s="7">
        <v>11499</v>
      </c>
      <c r="J24" s="7">
        <v>8849</v>
      </c>
      <c r="K24" s="7"/>
      <c r="L24" s="7">
        <v>1221535</v>
      </c>
    </row>
    <row r="25" spans="1:12" x14ac:dyDescent="0.35">
      <c r="A25" t="s">
        <v>86</v>
      </c>
      <c r="B25" s="7">
        <v>12936</v>
      </c>
      <c r="C25" s="7"/>
      <c r="D25" s="7">
        <v>120186</v>
      </c>
      <c r="E25" s="7">
        <v>269930</v>
      </c>
      <c r="F25" s="7"/>
      <c r="G25" s="7"/>
      <c r="H25" s="7">
        <v>4944</v>
      </c>
      <c r="I25" s="7">
        <v>62326</v>
      </c>
      <c r="J25" s="7">
        <v>243161</v>
      </c>
      <c r="K25" s="7">
        <v>22180</v>
      </c>
      <c r="L25" s="7">
        <v>735662</v>
      </c>
    </row>
    <row r="26" spans="1:12" x14ac:dyDescent="0.35">
      <c r="A26" t="s">
        <v>88</v>
      </c>
      <c r="B26" s="7">
        <v>3643</v>
      </c>
      <c r="C26" s="7"/>
      <c r="D26" s="7">
        <v>73261</v>
      </c>
      <c r="E26" s="7">
        <v>135610</v>
      </c>
      <c r="F26" s="7"/>
      <c r="G26" s="7"/>
      <c r="H26" s="7">
        <v>932</v>
      </c>
      <c r="I26" s="7">
        <v>5986</v>
      </c>
      <c r="J26" s="7">
        <v>233949</v>
      </c>
      <c r="K26" s="7">
        <v>11194</v>
      </c>
      <c r="L26" s="7">
        <v>464575</v>
      </c>
    </row>
    <row r="27" spans="1:12" x14ac:dyDescent="0.35">
      <c r="A27" t="s">
        <v>90</v>
      </c>
      <c r="B27" s="7">
        <v>1530</v>
      </c>
      <c r="C27" s="7"/>
      <c r="D27" s="7">
        <v>49302</v>
      </c>
      <c r="E27" s="7">
        <v>6668</v>
      </c>
      <c r="F27" s="7"/>
      <c r="G27" s="7"/>
      <c r="H27" s="7">
        <v>82</v>
      </c>
      <c r="I27" s="7">
        <v>1767</v>
      </c>
      <c r="J27" s="7">
        <v>10549</v>
      </c>
      <c r="K27" s="7">
        <v>354</v>
      </c>
      <c r="L27" s="7">
        <v>70252</v>
      </c>
    </row>
    <row r="28" spans="1:12" x14ac:dyDescent="0.35">
      <c r="A28" t="s">
        <v>92</v>
      </c>
      <c r="B28" s="7">
        <v>12</v>
      </c>
      <c r="C28" s="7"/>
      <c r="D28" s="7">
        <v>5270</v>
      </c>
      <c r="E28" s="7">
        <v>16</v>
      </c>
      <c r="F28" s="7"/>
      <c r="G28" s="7"/>
      <c r="H28" s="7">
        <v>85</v>
      </c>
      <c r="I28" s="7"/>
      <c r="J28" s="7">
        <v>244</v>
      </c>
      <c r="K28" s="7">
        <v>5</v>
      </c>
      <c r="L28" s="7">
        <v>5631</v>
      </c>
    </row>
    <row r="29" spans="1:12" x14ac:dyDescent="0.35">
      <c r="A29" t="s">
        <v>94</v>
      </c>
      <c r="B29" s="7">
        <v>112</v>
      </c>
      <c r="C29" s="7"/>
      <c r="D29" s="7">
        <v>4314</v>
      </c>
      <c r="E29" s="7">
        <v>1857</v>
      </c>
      <c r="F29" s="7"/>
      <c r="G29" s="7"/>
      <c r="H29" s="7">
        <v>32</v>
      </c>
      <c r="I29" s="7">
        <v>972</v>
      </c>
      <c r="J29" s="7">
        <v>14309</v>
      </c>
      <c r="K29" s="7">
        <v>4200</v>
      </c>
      <c r="L29" s="7">
        <v>25797</v>
      </c>
    </row>
    <row r="30" spans="1:12" x14ac:dyDescent="0.35">
      <c r="A30" t="s">
        <v>236</v>
      </c>
      <c r="B30" s="7">
        <v>3165</v>
      </c>
      <c r="C30" s="7">
        <v>4405</v>
      </c>
      <c r="D30" s="7">
        <v>341717</v>
      </c>
      <c r="E30" s="7">
        <v>32433</v>
      </c>
      <c r="F30" s="7"/>
      <c r="G30" s="7"/>
      <c r="H30" s="7"/>
      <c r="I30" s="7"/>
      <c r="J30" s="7"/>
      <c r="K30" s="7"/>
      <c r="L30" s="7">
        <v>381719</v>
      </c>
    </row>
    <row r="32" spans="1:12" x14ac:dyDescent="0.35">
      <c r="B32" s="7">
        <f>SUM(B9,B10:B21,B22*-1)</f>
        <v>2</v>
      </c>
      <c r="C32" s="7">
        <f t="shared" ref="C32:L32" si="0">SUM(C9,C10:C21,C22*-1)</f>
        <v>0</v>
      </c>
      <c r="D32" s="7">
        <f t="shared" si="0"/>
        <v>0</v>
      </c>
      <c r="E32" s="7">
        <f t="shared" si="0"/>
        <v>0</v>
      </c>
      <c r="F32" s="7">
        <f t="shared" si="0"/>
        <v>0</v>
      </c>
      <c r="G32" s="7">
        <f t="shared" si="0"/>
        <v>0</v>
      </c>
      <c r="H32" s="7">
        <f t="shared" si="0"/>
        <v>0</v>
      </c>
      <c r="I32" s="7">
        <f t="shared" si="0"/>
        <v>1</v>
      </c>
      <c r="J32" s="7">
        <f t="shared" si="0"/>
        <v>0</v>
      </c>
      <c r="K32" s="7">
        <f t="shared" si="0"/>
        <v>-1</v>
      </c>
      <c r="L32" s="7">
        <f t="shared" si="0"/>
        <v>0</v>
      </c>
    </row>
  </sheetData>
  <pageMargins left="0.7" right="0.7" top="0.75" bottom="0.75" header="0.3" footer="0.3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 codeName="Ark57"/>
  <dimension ref="A1:L32"/>
  <sheetViews>
    <sheetView workbookViewId="0">
      <selection activeCell="H36" sqref="H36"/>
    </sheetView>
  </sheetViews>
  <sheetFormatPr defaultRowHeight="14.5" x14ac:dyDescent="0.35"/>
  <cols>
    <col min="1" max="1" width="30" customWidth="1"/>
    <col min="2" max="2" width="11.54296875" customWidth="1"/>
    <col min="3" max="3" width="12" customWidth="1"/>
    <col min="4" max="4" width="14.54296875" customWidth="1"/>
    <col min="5" max="5" width="14.1796875" customWidth="1"/>
    <col min="8" max="8" width="22.81640625" customWidth="1"/>
    <col min="9" max="9" width="21.81640625" customWidth="1"/>
    <col min="10" max="10" width="13.81640625" customWidth="1"/>
    <col min="11" max="11" width="12.26953125" customWidth="1"/>
    <col min="12" max="12" width="11.81640625" customWidth="1"/>
  </cols>
  <sheetData>
    <row r="1" spans="1:12" x14ac:dyDescent="0.35">
      <c r="B1" t="s">
        <v>214</v>
      </c>
      <c r="C1" t="s">
        <v>2</v>
      </c>
      <c r="D1" t="s">
        <v>215</v>
      </c>
      <c r="E1" t="s">
        <v>216</v>
      </c>
      <c r="F1" t="s">
        <v>5</v>
      </c>
      <c r="G1" t="s">
        <v>6</v>
      </c>
      <c r="H1" t="s">
        <v>217</v>
      </c>
      <c r="I1" t="s">
        <v>8</v>
      </c>
      <c r="J1" t="s">
        <v>9</v>
      </c>
      <c r="K1" t="s">
        <v>10</v>
      </c>
      <c r="L1" t="s">
        <v>218</v>
      </c>
    </row>
    <row r="2" spans="1:12" x14ac:dyDescent="0.35">
      <c r="B2" t="s">
        <v>219</v>
      </c>
      <c r="C2" t="s">
        <v>219</v>
      </c>
      <c r="D2" t="s">
        <v>219</v>
      </c>
      <c r="E2" t="s">
        <v>219</v>
      </c>
      <c r="F2" t="s">
        <v>219</v>
      </c>
      <c r="G2" t="s">
        <v>219</v>
      </c>
      <c r="H2" t="s">
        <v>219</v>
      </c>
      <c r="I2" t="s">
        <v>219</v>
      </c>
      <c r="J2" t="s">
        <v>219</v>
      </c>
      <c r="K2" t="s">
        <v>219</v>
      </c>
      <c r="L2" t="s">
        <v>219</v>
      </c>
    </row>
    <row r="3" spans="1:12" x14ac:dyDescent="0.35">
      <c r="A3" t="s">
        <v>17</v>
      </c>
      <c r="B3" s="7">
        <v>997555</v>
      </c>
      <c r="C3" s="7">
        <v>896144</v>
      </c>
      <c r="D3" s="7"/>
      <c r="E3" s="7">
        <v>966725</v>
      </c>
      <c r="F3" s="7">
        <v>596384</v>
      </c>
      <c r="G3" s="7">
        <v>116790</v>
      </c>
      <c r="H3" s="7">
        <v>61532</v>
      </c>
      <c r="I3" s="7">
        <v>267470</v>
      </c>
      <c r="J3" s="7"/>
      <c r="K3" s="7">
        <v>822</v>
      </c>
      <c r="L3" s="7">
        <v>3903421</v>
      </c>
    </row>
    <row r="4" spans="1:12" x14ac:dyDescent="0.35">
      <c r="A4" t="s">
        <v>220</v>
      </c>
      <c r="B4" s="7">
        <v>367281</v>
      </c>
      <c r="C4" s="7">
        <v>1548640</v>
      </c>
      <c r="D4" s="7">
        <v>567934</v>
      </c>
      <c r="E4" s="7">
        <v>645276</v>
      </c>
      <c r="F4" s="7"/>
      <c r="G4" s="7"/>
      <c r="H4" s="7"/>
      <c r="I4" s="7">
        <v>13725</v>
      </c>
      <c r="J4" s="7">
        <v>34291</v>
      </c>
      <c r="K4" s="7">
        <v>5</v>
      </c>
      <c r="L4" s="7">
        <v>3177151</v>
      </c>
    </row>
    <row r="5" spans="1:12" x14ac:dyDescent="0.35">
      <c r="A5" t="s">
        <v>221</v>
      </c>
      <c r="B5" s="7">
        <v>-283293</v>
      </c>
      <c r="C5" s="7">
        <v>-349869</v>
      </c>
      <c r="D5" s="7">
        <v>-511362</v>
      </c>
      <c r="E5" s="7">
        <v>-302880</v>
      </c>
      <c r="F5" s="7"/>
      <c r="G5" s="7"/>
      <c r="H5" s="7"/>
      <c r="I5" s="7">
        <v>-7090</v>
      </c>
      <c r="J5" s="7">
        <v>-32727</v>
      </c>
      <c r="K5" s="7">
        <v>-9</v>
      </c>
      <c r="L5" s="7">
        <v>-1487231</v>
      </c>
    </row>
    <row r="6" spans="1:12" x14ac:dyDescent="0.35">
      <c r="A6" t="s">
        <v>222</v>
      </c>
      <c r="B6" s="7"/>
      <c r="C6" s="7"/>
      <c r="D6" s="7">
        <v>-90897</v>
      </c>
      <c r="E6" s="7"/>
      <c r="F6" s="7"/>
      <c r="G6" s="7"/>
      <c r="H6" s="7"/>
      <c r="I6" s="7"/>
      <c r="J6" s="7"/>
      <c r="K6" s="7"/>
      <c r="L6" s="7">
        <v>-90897</v>
      </c>
    </row>
    <row r="7" spans="1:12" x14ac:dyDescent="0.35">
      <c r="A7" t="s">
        <v>223</v>
      </c>
      <c r="B7" s="7"/>
      <c r="C7" s="7"/>
      <c r="D7" s="7">
        <v>-85785</v>
      </c>
      <c r="E7" s="7"/>
      <c r="F7" s="7"/>
      <c r="G7" s="7"/>
      <c r="H7" s="7"/>
      <c r="I7" s="7"/>
      <c r="J7" s="7"/>
      <c r="K7" s="7"/>
      <c r="L7" s="7">
        <v>-85785</v>
      </c>
    </row>
    <row r="8" spans="1:12" x14ac:dyDescent="0.35">
      <c r="A8" t="s">
        <v>224</v>
      </c>
      <c r="B8" s="7">
        <v>10677</v>
      </c>
      <c r="C8" s="7">
        <v>-4667</v>
      </c>
      <c r="D8" s="7">
        <v>4076</v>
      </c>
      <c r="E8" s="7">
        <v>13991</v>
      </c>
      <c r="F8" s="7"/>
      <c r="G8" s="7"/>
      <c r="H8" s="7"/>
      <c r="I8" s="7">
        <v>22</v>
      </c>
      <c r="J8" s="7"/>
      <c r="K8" s="7"/>
      <c r="L8" s="7">
        <v>24098</v>
      </c>
    </row>
    <row r="9" spans="1:12" x14ac:dyDescent="0.35">
      <c r="A9" t="s">
        <v>225</v>
      </c>
      <c r="B9" s="7">
        <v>1092221</v>
      </c>
      <c r="C9" s="7">
        <v>2090248</v>
      </c>
      <c r="D9" s="7">
        <v>-116035</v>
      </c>
      <c r="E9" s="7">
        <v>1323111</v>
      </c>
      <c r="F9" s="7">
        <v>596384</v>
      </c>
      <c r="G9" s="7">
        <v>116790</v>
      </c>
      <c r="H9" s="7">
        <v>61532</v>
      </c>
      <c r="I9" s="7">
        <v>274127</v>
      </c>
      <c r="J9" s="7">
        <v>1564</v>
      </c>
      <c r="K9" s="7">
        <v>817</v>
      </c>
      <c r="L9" s="7">
        <v>5440758</v>
      </c>
    </row>
    <row r="10" spans="1:12" x14ac:dyDescent="0.35">
      <c r="A10" t="s">
        <v>226</v>
      </c>
      <c r="B10" s="7"/>
      <c r="C10" s="7">
        <v>-56171</v>
      </c>
      <c r="D10" s="7">
        <v>68920</v>
      </c>
      <c r="E10" s="7"/>
      <c r="F10" s="7"/>
      <c r="G10" s="7"/>
      <c r="H10" s="7"/>
      <c r="I10" s="7"/>
      <c r="J10" s="7"/>
      <c r="K10" s="7"/>
      <c r="L10" s="7">
        <v>12749</v>
      </c>
    </row>
    <row r="11" spans="1:12" x14ac:dyDescent="0.35">
      <c r="A11" t="s">
        <v>227</v>
      </c>
      <c r="B11" s="7">
        <v>-7887</v>
      </c>
      <c r="C11" s="7">
        <v>-10135</v>
      </c>
      <c r="D11" s="7">
        <v>-4060</v>
      </c>
      <c r="E11" s="7">
        <v>10556</v>
      </c>
      <c r="F11" s="7"/>
      <c r="G11" s="7"/>
      <c r="H11" s="7">
        <v>2</v>
      </c>
      <c r="I11" s="7">
        <v>-1897</v>
      </c>
      <c r="J11" s="7">
        <v>-3477</v>
      </c>
      <c r="K11" s="7">
        <v>-270</v>
      </c>
      <c r="L11" s="7">
        <v>-17167</v>
      </c>
    </row>
    <row r="12" spans="1:12" x14ac:dyDescent="0.35">
      <c r="A12" t="s">
        <v>228</v>
      </c>
      <c r="B12" s="7">
        <v>-782665</v>
      </c>
      <c r="C12" s="7">
        <v>-4132</v>
      </c>
      <c r="D12" s="7">
        <v>-52866</v>
      </c>
      <c r="E12" s="7">
        <v>-356440</v>
      </c>
      <c r="F12" s="7">
        <v>-589518</v>
      </c>
      <c r="G12" s="7">
        <v>-116790</v>
      </c>
      <c r="H12" s="7">
        <v>-50298</v>
      </c>
      <c r="I12" s="7">
        <v>-39214</v>
      </c>
      <c r="J12" s="7">
        <v>841343</v>
      </c>
      <c r="K12" s="7">
        <v>-310</v>
      </c>
      <c r="L12" s="7">
        <v>-1150888</v>
      </c>
    </row>
    <row r="13" spans="1:12" x14ac:dyDescent="0.35">
      <c r="A13" t="s">
        <v>66</v>
      </c>
      <c r="B13" s="7">
        <v>-88514</v>
      </c>
      <c r="C13" s="7"/>
      <c r="D13" s="7">
        <v>-15651</v>
      </c>
      <c r="E13" s="7">
        <v>-117906</v>
      </c>
      <c r="F13" s="7">
        <v>-6867</v>
      </c>
      <c r="G13" s="7"/>
      <c r="H13" s="7">
        <v>-2045</v>
      </c>
      <c r="I13" s="7">
        <v>-33671</v>
      </c>
      <c r="J13" s="7">
        <v>98847</v>
      </c>
      <c r="K13" s="7">
        <v>60338</v>
      </c>
      <c r="L13" s="7">
        <v>-105469</v>
      </c>
    </row>
    <row r="14" spans="1:12" x14ac:dyDescent="0.35">
      <c r="A14" t="s">
        <v>229</v>
      </c>
      <c r="B14" s="7">
        <v>-5433</v>
      </c>
      <c r="C14" s="7"/>
      <c r="D14" s="7">
        <v>-2046</v>
      </c>
      <c r="E14" s="7">
        <v>-9466</v>
      </c>
      <c r="F14" s="7"/>
      <c r="G14" s="7"/>
      <c r="H14" s="7">
        <v>-882</v>
      </c>
      <c r="I14" s="7">
        <v>-6407</v>
      </c>
      <c r="J14" s="7">
        <v>-350</v>
      </c>
      <c r="K14" s="7">
        <v>19685</v>
      </c>
      <c r="L14" s="7">
        <v>-4899</v>
      </c>
    </row>
    <row r="15" spans="1:12" x14ac:dyDescent="0.35">
      <c r="A15" t="s">
        <v>230</v>
      </c>
      <c r="B15" s="7">
        <v>-2194</v>
      </c>
      <c r="C15" s="7"/>
      <c r="D15" s="7">
        <v>-2700</v>
      </c>
      <c r="E15" s="7">
        <v>3802</v>
      </c>
      <c r="F15" s="7"/>
      <c r="G15" s="7"/>
      <c r="H15" s="7"/>
      <c r="I15" s="7">
        <v>-22</v>
      </c>
      <c r="J15" s="7"/>
      <c r="K15" s="7"/>
      <c r="L15" s="7">
        <v>-1114</v>
      </c>
    </row>
    <row r="16" spans="1:12" x14ac:dyDescent="0.35">
      <c r="A16" t="s">
        <v>70</v>
      </c>
      <c r="B16" s="7"/>
      <c r="C16" s="7">
        <v>-2045210</v>
      </c>
      <c r="D16" s="7">
        <v>2051058</v>
      </c>
      <c r="E16" s="7"/>
      <c r="F16" s="7"/>
      <c r="G16" s="7"/>
      <c r="H16" s="7"/>
      <c r="I16" s="7"/>
      <c r="J16" s="7"/>
      <c r="K16" s="7"/>
      <c r="L16" s="7">
        <v>5847</v>
      </c>
    </row>
    <row r="17" spans="1:12" x14ac:dyDescent="0.35">
      <c r="A17" t="s">
        <v>231</v>
      </c>
      <c r="B17" s="7">
        <v>-61644</v>
      </c>
      <c r="C17" s="7"/>
      <c r="D17" s="7">
        <v>-2168</v>
      </c>
      <c r="E17" s="7">
        <v>-54</v>
      </c>
      <c r="F17" s="7"/>
      <c r="G17" s="7"/>
      <c r="H17" s="7"/>
      <c r="I17" s="7">
        <v>-2</v>
      </c>
      <c r="J17" s="7"/>
      <c r="K17" s="7"/>
      <c r="L17" s="7">
        <v>-63868</v>
      </c>
    </row>
    <row r="18" spans="1:12" x14ac:dyDescent="0.35">
      <c r="A18" t="s">
        <v>232</v>
      </c>
      <c r="B18" s="7">
        <v>-791</v>
      </c>
      <c r="C18" s="7">
        <v>496</v>
      </c>
      <c r="D18" s="7"/>
      <c r="E18" s="7"/>
      <c r="F18" s="7"/>
      <c r="G18" s="7"/>
      <c r="H18" s="7"/>
      <c r="I18" s="7"/>
      <c r="J18" s="7"/>
      <c r="K18" s="7"/>
      <c r="L18" s="7">
        <v>-294</v>
      </c>
    </row>
    <row r="19" spans="1:12" x14ac:dyDescent="0.35">
      <c r="A19" t="s">
        <v>233</v>
      </c>
      <c r="B19" s="7">
        <v>-152</v>
      </c>
      <c r="C19" s="7">
        <v>31966</v>
      </c>
      <c r="D19" s="7">
        <v>-28966</v>
      </c>
      <c r="E19" s="7">
        <v>-3867</v>
      </c>
      <c r="F19" s="7"/>
      <c r="G19" s="7"/>
      <c r="H19" s="7"/>
      <c r="I19" s="7">
        <v>-421</v>
      </c>
      <c r="J19" s="7"/>
      <c r="K19" s="7">
        <v>-369</v>
      </c>
      <c r="L19" s="7">
        <v>-1810</v>
      </c>
    </row>
    <row r="20" spans="1:12" x14ac:dyDescent="0.35">
      <c r="A20" t="s">
        <v>234</v>
      </c>
      <c r="B20" s="7">
        <v>-16708</v>
      </c>
      <c r="C20" s="7">
        <v>-102</v>
      </c>
      <c r="D20" s="7">
        <v>-123707</v>
      </c>
      <c r="E20" s="7">
        <v>-117340</v>
      </c>
      <c r="F20" s="7"/>
      <c r="G20" s="7"/>
      <c r="H20" s="7">
        <v>-1</v>
      </c>
      <c r="I20" s="7">
        <v>-690</v>
      </c>
      <c r="J20" s="7">
        <v>-70349</v>
      </c>
      <c r="K20" s="7">
        <v>-8576</v>
      </c>
      <c r="L20" s="7">
        <v>-337474</v>
      </c>
    </row>
    <row r="21" spans="1:12" x14ac:dyDescent="0.35">
      <c r="A21" t="s">
        <v>235</v>
      </c>
      <c r="B21" s="7">
        <v>-1157</v>
      </c>
      <c r="C21" s="7"/>
      <c r="D21" s="7">
        <v>-40</v>
      </c>
      <c r="E21" s="7">
        <v>-4190</v>
      </c>
      <c r="F21" s="7"/>
      <c r="G21" s="7"/>
      <c r="H21" s="7">
        <v>-9</v>
      </c>
      <c r="I21" s="7">
        <v>-123</v>
      </c>
      <c r="J21" s="7">
        <v>-57237</v>
      </c>
      <c r="K21" s="7">
        <v>-6697</v>
      </c>
      <c r="L21" s="7">
        <v>-69452</v>
      </c>
    </row>
    <row r="22" spans="1:12" x14ac:dyDescent="0.35">
      <c r="A22" t="s">
        <v>131</v>
      </c>
      <c r="B22" s="7">
        <v>125076</v>
      </c>
      <c r="C22" s="7">
        <v>6959</v>
      </c>
      <c r="D22" s="7">
        <v>1771738</v>
      </c>
      <c r="E22" s="7">
        <v>728204</v>
      </c>
      <c r="F22" s="7"/>
      <c r="G22" s="7"/>
      <c r="H22" s="7">
        <v>8301</v>
      </c>
      <c r="I22" s="7">
        <v>191680</v>
      </c>
      <c r="J22" s="7">
        <v>810341</v>
      </c>
      <c r="K22" s="7">
        <v>64620</v>
      </c>
      <c r="L22" s="7">
        <v>3706919</v>
      </c>
    </row>
    <row r="23" spans="1:12" x14ac:dyDescent="0.35">
      <c r="A23" t="s">
        <v>80</v>
      </c>
      <c r="B23" s="7">
        <v>96430</v>
      </c>
      <c r="C23" s="7">
        <v>113</v>
      </c>
      <c r="D23" s="7">
        <v>115203</v>
      </c>
      <c r="E23" s="7">
        <v>250101</v>
      </c>
      <c r="F23" s="7"/>
      <c r="G23" s="7"/>
      <c r="H23" s="7">
        <v>299</v>
      </c>
      <c r="I23" s="7">
        <v>68441</v>
      </c>
      <c r="J23" s="7">
        <v>260527</v>
      </c>
      <c r="K23" s="7">
        <v>25227</v>
      </c>
      <c r="L23" s="7">
        <v>816342</v>
      </c>
    </row>
    <row r="24" spans="1:12" x14ac:dyDescent="0.35">
      <c r="A24" t="s">
        <v>82</v>
      </c>
      <c r="B24" s="7">
        <v>109</v>
      </c>
      <c r="C24" s="7">
        <v>32</v>
      </c>
      <c r="D24" s="7">
        <v>1128157</v>
      </c>
      <c r="E24" s="7">
        <v>22987</v>
      </c>
      <c r="F24" s="7"/>
      <c r="G24" s="7"/>
      <c r="H24" s="7"/>
      <c r="I24" s="7">
        <v>38368</v>
      </c>
      <c r="J24" s="7">
        <v>8498</v>
      </c>
      <c r="K24" s="7"/>
      <c r="L24" s="7">
        <v>1198151</v>
      </c>
    </row>
    <row r="25" spans="1:12" x14ac:dyDescent="0.35">
      <c r="A25" t="s">
        <v>86</v>
      </c>
      <c r="B25" s="7">
        <v>16252</v>
      </c>
      <c r="C25" s="7">
        <v>555</v>
      </c>
      <c r="D25" s="7">
        <v>97597</v>
      </c>
      <c r="E25" s="7">
        <v>272150</v>
      </c>
      <c r="F25" s="7"/>
      <c r="G25" s="7"/>
      <c r="H25" s="7">
        <v>5304</v>
      </c>
      <c r="I25" s="7">
        <v>72858</v>
      </c>
      <c r="J25" s="7">
        <v>260781</v>
      </c>
      <c r="K25" s="7">
        <v>24446</v>
      </c>
      <c r="L25" s="7">
        <v>749942</v>
      </c>
    </row>
    <row r="26" spans="1:12" x14ac:dyDescent="0.35">
      <c r="A26" t="s">
        <v>88</v>
      </c>
      <c r="B26" s="7">
        <v>7469</v>
      </c>
      <c r="C26" s="7">
        <v>98</v>
      </c>
      <c r="D26" s="7">
        <v>55271</v>
      </c>
      <c r="E26" s="7">
        <v>143439</v>
      </c>
      <c r="F26" s="7"/>
      <c r="G26" s="7"/>
      <c r="H26" s="7">
        <v>2500</v>
      </c>
      <c r="I26" s="7">
        <v>7604</v>
      </c>
      <c r="J26" s="7">
        <v>254709</v>
      </c>
      <c r="K26" s="7">
        <v>14517</v>
      </c>
      <c r="L26" s="7">
        <v>485606</v>
      </c>
    </row>
    <row r="27" spans="1:12" x14ac:dyDescent="0.35">
      <c r="A27" t="s">
        <v>90</v>
      </c>
      <c r="B27" s="7">
        <v>1353</v>
      </c>
      <c r="C27" s="7">
        <v>82</v>
      </c>
      <c r="D27" s="7">
        <v>47227</v>
      </c>
      <c r="E27" s="7">
        <v>6474</v>
      </c>
      <c r="F27" s="7"/>
      <c r="G27" s="7"/>
      <c r="H27" s="7">
        <v>97</v>
      </c>
      <c r="I27" s="7">
        <v>3625</v>
      </c>
      <c r="J27" s="7">
        <v>11203</v>
      </c>
      <c r="K27" s="7">
        <v>279</v>
      </c>
      <c r="L27" s="7">
        <v>70339</v>
      </c>
    </row>
    <row r="28" spans="1:12" x14ac:dyDescent="0.35">
      <c r="A28" t="s">
        <v>92</v>
      </c>
      <c r="B28" s="7">
        <v>5</v>
      </c>
      <c r="C28" s="7"/>
      <c r="D28" s="7">
        <v>4780</v>
      </c>
      <c r="E28" s="7">
        <v>6</v>
      </c>
      <c r="F28" s="7"/>
      <c r="G28" s="7"/>
      <c r="H28" s="7">
        <v>59</v>
      </c>
      <c r="I28" s="7">
        <v>4</v>
      </c>
      <c r="J28" s="7">
        <v>368</v>
      </c>
      <c r="K28" s="7">
        <v>4</v>
      </c>
      <c r="L28" s="7">
        <v>5227</v>
      </c>
    </row>
    <row r="29" spans="1:12" x14ac:dyDescent="0.35">
      <c r="A29" t="s">
        <v>94</v>
      </c>
      <c r="B29" s="7">
        <v>106</v>
      </c>
      <c r="C29" s="7"/>
      <c r="D29" s="7">
        <v>3689</v>
      </c>
      <c r="E29" s="7">
        <v>1927</v>
      </c>
      <c r="F29" s="7"/>
      <c r="G29" s="7"/>
      <c r="H29" s="7">
        <v>41</v>
      </c>
      <c r="I29" s="7">
        <v>781</v>
      </c>
      <c r="J29" s="7">
        <v>14255</v>
      </c>
      <c r="K29" s="7">
        <v>145</v>
      </c>
      <c r="L29" s="7">
        <v>20944</v>
      </c>
    </row>
    <row r="30" spans="1:12" x14ac:dyDescent="0.35">
      <c r="A30" t="s">
        <v>236</v>
      </c>
      <c r="B30" s="7">
        <v>3353</v>
      </c>
      <c r="C30" s="7">
        <v>6079</v>
      </c>
      <c r="D30" s="7">
        <v>319815</v>
      </c>
      <c r="E30" s="7">
        <v>31121</v>
      </c>
      <c r="F30" s="7"/>
      <c r="G30" s="7"/>
      <c r="H30" s="7"/>
      <c r="I30" s="7"/>
      <c r="J30" s="7"/>
      <c r="K30" s="7"/>
      <c r="L30" s="7">
        <v>360367</v>
      </c>
    </row>
    <row r="32" spans="1:12" x14ac:dyDescent="0.35">
      <c r="B32" s="7">
        <f>SUM(B9,B10:B21,B22*-1)</f>
        <v>0</v>
      </c>
      <c r="C32" s="7">
        <f t="shared" ref="C32:L32" si="0">SUM(C9,C10:C21,C22*-1)</f>
        <v>1</v>
      </c>
      <c r="D32" s="7">
        <f t="shared" si="0"/>
        <v>1</v>
      </c>
      <c r="E32" s="7">
        <f t="shared" si="0"/>
        <v>2</v>
      </c>
      <c r="F32" s="7">
        <f t="shared" si="0"/>
        <v>-1</v>
      </c>
      <c r="G32" s="7">
        <f t="shared" si="0"/>
        <v>0</v>
      </c>
      <c r="H32" s="7">
        <f t="shared" si="0"/>
        <v>-2</v>
      </c>
      <c r="I32" s="7">
        <f t="shared" si="0"/>
        <v>0</v>
      </c>
      <c r="J32" s="7">
        <f t="shared" si="0"/>
        <v>0</v>
      </c>
      <c r="K32" s="7">
        <f t="shared" si="0"/>
        <v>-2</v>
      </c>
      <c r="L32" s="7">
        <f t="shared" si="0"/>
        <v>0</v>
      </c>
    </row>
  </sheetData>
  <pageMargins left="0.7" right="0.7" top="0.75" bottom="0.75" header="0.3" footer="0.3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 codeName="Ark58"/>
  <dimension ref="A1:L32"/>
  <sheetViews>
    <sheetView workbookViewId="0">
      <selection activeCell="L30" sqref="L30"/>
    </sheetView>
  </sheetViews>
  <sheetFormatPr defaultRowHeight="14.5" x14ac:dyDescent="0.35"/>
  <cols>
    <col min="1" max="1" width="30" customWidth="1"/>
    <col min="2" max="2" width="11.54296875" customWidth="1"/>
    <col min="3" max="3" width="12" customWidth="1"/>
    <col min="4" max="4" width="14.54296875" customWidth="1"/>
    <col min="5" max="5" width="14.1796875" customWidth="1"/>
    <col min="8" max="8" width="22.81640625" customWidth="1"/>
    <col min="9" max="9" width="21.81640625" customWidth="1"/>
    <col min="10" max="10" width="13.81640625" customWidth="1"/>
    <col min="11" max="11" width="12.26953125" customWidth="1"/>
    <col min="12" max="12" width="11.81640625" customWidth="1"/>
  </cols>
  <sheetData>
    <row r="1" spans="1:12" x14ac:dyDescent="0.35">
      <c r="B1" t="s">
        <v>214</v>
      </c>
      <c r="C1" t="s">
        <v>2</v>
      </c>
      <c r="D1" t="s">
        <v>215</v>
      </c>
      <c r="E1" t="s">
        <v>216</v>
      </c>
      <c r="F1" t="s">
        <v>5</v>
      </c>
      <c r="G1" t="s">
        <v>6</v>
      </c>
      <c r="H1" t="s">
        <v>217</v>
      </c>
      <c r="I1" t="s">
        <v>8</v>
      </c>
      <c r="J1" t="s">
        <v>9</v>
      </c>
      <c r="K1" t="s">
        <v>10</v>
      </c>
      <c r="L1" t="s">
        <v>218</v>
      </c>
    </row>
    <row r="2" spans="1:12" x14ac:dyDescent="0.35">
      <c r="B2" t="s">
        <v>219</v>
      </c>
      <c r="C2" t="s">
        <v>219</v>
      </c>
      <c r="D2" t="s">
        <v>219</v>
      </c>
      <c r="E2" t="s">
        <v>219</v>
      </c>
      <c r="F2" t="s">
        <v>219</v>
      </c>
      <c r="G2" t="s">
        <v>219</v>
      </c>
      <c r="H2" t="s">
        <v>219</v>
      </c>
      <c r="I2" t="s">
        <v>219</v>
      </c>
      <c r="J2" t="s">
        <v>219</v>
      </c>
      <c r="K2" t="s">
        <v>219</v>
      </c>
      <c r="L2" t="s">
        <v>219</v>
      </c>
    </row>
    <row r="3" spans="1:12" x14ac:dyDescent="0.35">
      <c r="A3" t="s">
        <v>17</v>
      </c>
      <c r="B3" s="7">
        <v>919570</v>
      </c>
      <c r="C3" s="7">
        <v>1125436</v>
      </c>
      <c r="D3" s="7"/>
      <c r="E3" s="7">
        <v>1081882</v>
      </c>
      <c r="F3" s="7">
        <v>513661</v>
      </c>
      <c r="G3" s="7">
        <v>119098</v>
      </c>
      <c r="H3" s="7">
        <v>108388</v>
      </c>
      <c r="I3" s="7">
        <v>301012</v>
      </c>
      <c r="J3" s="7"/>
      <c r="K3" s="7">
        <v>1095</v>
      </c>
      <c r="L3" s="7">
        <v>4170140</v>
      </c>
    </row>
    <row r="4" spans="1:12" x14ac:dyDescent="0.35">
      <c r="A4" t="s">
        <v>220</v>
      </c>
      <c r="B4" s="7">
        <v>377843</v>
      </c>
      <c r="C4" s="7">
        <v>1433868</v>
      </c>
      <c r="D4" s="7">
        <v>604234</v>
      </c>
      <c r="E4" s="7">
        <v>637449</v>
      </c>
      <c r="F4" s="7"/>
      <c r="G4" s="7"/>
      <c r="H4" s="7"/>
      <c r="I4" s="7">
        <v>21653</v>
      </c>
      <c r="J4" s="7">
        <v>44912</v>
      </c>
      <c r="K4" s="7">
        <v>6</v>
      </c>
      <c r="L4" s="7">
        <v>3119965</v>
      </c>
    </row>
    <row r="5" spans="1:12" x14ac:dyDescent="0.35">
      <c r="A5" t="s">
        <v>221</v>
      </c>
      <c r="B5" s="7">
        <v>-336277</v>
      </c>
      <c r="C5" s="7">
        <v>-403017</v>
      </c>
      <c r="D5" s="7">
        <v>-658786</v>
      </c>
      <c r="E5" s="7">
        <v>-330080</v>
      </c>
      <c r="F5" s="7"/>
      <c r="G5" s="7"/>
      <c r="H5" s="7"/>
      <c r="I5" s="7">
        <v>-13344</v>
      </c>
      <c r="J5" s="7">
        <v>-43761</v>
      </c>
      <c r="K5" s="7">
        <v>-5</v>
      </c>
      <c r="L5" s="7">
        <v>-1785270</v>
      </c>
    </row>
    <row r="6" spans="1:12" x14ac:dyDescent="0.35">
      <c r="A6" t="s">
        <v>222</v>
      </c>
      <c r="B6" s="7"/>
      <c r="C6" s="7"/>
      <c r="D6" s="7">
        <v>-73576</v>
      </c>
      <c r="E6" s="7">
        <v>-35</v>
      </c>
      <c r="F6" s="7"/>
      <c r="G6" s="7"/>
      <c r="H6" s="7"/>
      <c r="I6" s="7">
        <v>-175</v>
      </c>
      <c r="J6" s="7"/>
      <c r="K6" s="7"/>
      <c r="L6" s="7">
        <v>-73787</v>
      </c>
    </row>
    <row r="7" spans="1:12" x14ac:dyDescent="0.35">
      <c r="A7" t="s">
        <v>223</v>
      </c>
      <c r="B7" s="7"/>
      <c r="C7" s="7"/>
      <c r="D7" s="7">
        <v>-95376</v>
      </c>
      <c r="E7" s="7"/>
      <c r="F7" s="7"/>
      <c r="G7" s="7"/>
      <c r="H7" s="7"/>
      <c r="I7" s="7"/>
      <c r="J7" s="7"/>
      <c r="K7" s="7"/>
      <c r="L7" s="7">
        <v>-95376</v>
      </c>
    </row>
    <row r="8" spans="1:12" x14ac:dyDescent="0.35">
      <c r="A8" t="s">
        <v>224</v>
      </c>
      <c r="B8" s="7">
        <v>-13515</v>
      </c>
      <c r="C8" s="7">
        <v>-17002</v>
      </c>
      <c r="D8" s="7">
        <v>-14014</v>
      </c>
      <c r="E8" s="7">
        <v>-10622</v>
      </c>
      <c r="F8" s="7"/>
      <c r="G8" s="7"/>
      <c r="H8" s="7"/>
      <c r="I8" s="7">
        <v>-437</v>
      </c>
      <c r="J8" s="7"/>
      <c r="K8" s="7"/>
      <c r="L8" s="7">
        <v>-55590</v>
      </c>
    </row>
    <row r="9" spans="1:12" x14ac:dyDescent="0.35">
      <c r="A9" t="s">
        <v>225</v>
      </c>
      <c r="B9" s="7">
        <v>947621</v>
      </c>
      <c r="C9" s="7">
        <v>2139285</v>
      </c>
      <c r="D9" s="7">
        <v>-237518</v>
      </c>
      <c r="E9" s="7">
        <v>1378593</v>
      </c>
      <c r="F9" s="7">
        <v>513661</v>
      </c>
      <c r="G9" s="7">
        <v>119098</v>
      </c>
      <c r="H9" s="7">
        <v>108388</v>
      </c>
      <c r="I9" s="7">
        <v>308709</v>
      </c>
      <c r="J9" s="7">
        <v>1152</v>
      </c>
      <c r="K9" s="7">
        <v>1096</v>
      </c>
      <c r="L9" s="7">
        <v>5280083</v>
      </c>
    </row>
    <row r="10" spans="1:12" x14ac:dyDescent="0.35">
      <c r="A10" t="s">
        <v>226</v>
      </c>
      <c r="B10" s="7"/>
      <c r="C10" s="7">
        <v>-93732</v>
      </c>
      <c r="D10" s="7">
        <v>108990</v>
      </c>
      <c r="E10" s="7"/>
      <c r="F10" s="7"/>
      <c r="G10" s="7"/>
      <c r="H10" s="7"/>
      <c r="I10" s="7"/>
      <c r="J10" s="7"/>
      <c r="K10" s="7"/>
      <c r="L10" s="7">
        <v>15259</v>
      </c>
    </row>
    <row r="11" spans="1:12" x14ac:dyDescent="0.35">
      <c r="A11" t="s">
        <v>227</v>
      </c>
      <c r="B11" s="7">
        <v>-3212</v>
      </c>
      <c r="C11" s="7">
        <v>-12167</v>
      </c>
      <c r="D11" s="7">
        <v>17559</v>
      </c>
      <c r="E11" s="7">
        <v>1044</v>
      </c>
      <c r="F11" s="7"/>
      <c r="G11" s="7"/>
      <c r="H11" s="7">
        <v>-24</v>
      </c>
      <c r="I11" s="7">
        <v>-137</v>
      </c>
      <c r="J11" s="7">
        <v>-2748</v>
      </c>
      <c r="K11" s="7">
        <v>-193</v>
      </c>
      <c r="L11" s="7">
        <v>122</v>
      </c>
    </row>
    <row r="12" spans="1:12" x14ac:dyDescent="0.35">
      <c r="A12" t="s">
        <v>228</v>
      </c>
      <c r="B12" s="7">
        <v>-669735</v>
      </c>
      <c r="C12" s="7">
        <v>-4901</v>
      </c>
      <c r="D12" s="7">
        <v>-42395</v>
      </c>
      <c r="E12" s="7">
        <v>-397676</v>
      </c>
      <c r="F12" s="7">
        <v>-506584</v>
      </c>
      <c r="G12" s="7">
        <v>-119098</v>
      </c>
      <c r="H12" s="7">
        <v>-94745</v>
      </c>
      <c r="I12" s="7">
        <v>-48331</v>
      </c>
      <c r="J12" s="7">
        <v>841321</v>
      </c>
      <c r="K12" s="7">
        <v>-520</v>
      </c>
      <c r="L12" s="7">
        <v>-1042663</v>
      </c>
    </row>
    <row r="13" spans="1:12" x14ac:dyDescent="0.35">
      <c r="A13" t="s">
        <v>66</v>
      </c>
      <c r="B13" s="7">
        <v>-76552</v>
      </c>
      <c r="C13" s="7"/>
      <c r="D13" s="7">
        <v>-12820</v>
      </c>
      <c r="E13" s="7">
        <v>-107675</v>
      </c>
      <c r="F13" s="7">
        <v>-7076</v>
      </c>
      <c r="G13" s="7"/>
      <c r="H13" s="7">
        <v>-2729</v>
      </c>
      <c r="I13" s="7">
        <v>-46284</v>
      </c>
      <c r="J13" s="7">
        <v>94142</v>
      </c>
      <c r="K13" s="7">
        <v>53278</v>
      </c>
      <c r="L13" s="7">
        <v>-105716</v>
      </c>
    </row>
    <row r="14" spans="1:12" x14ac:dyDescent="0.35">
      <c r="A14" t="s">
        <v>229</v>
      </c>
      <c r="B14" s="7">
        <v>-3619</v>
      </c>
      <c r="C14" s="7"/>
      <c r="D14" s="7">
        <v>-1014</v>
      </c>
      <c r="E14" s="7">
        <v>-8481</v>
      </c>
      <c r="F14" s="7"/>
      <c r="G14" s="7"/>
      <c r="H14" s="7">
        <v>-1185</v>
      </c>
      <c r="I14" s="7">
        <v>-7153</v>
      </c>
      <c r="J14" s="7">
        <v>-373</v>
      </c>
      <c r="K14" s="7">
        <v>17908</v>
      </c>
      <c r="L14" s="7">
        <v>-3918</v>
      </c>
    </row>
    <row r="15" spans="1:12" x14ac:dyDescent="0.35">
      <c r="A15" t="s">
        <v>230</v>
      </c>
      <c r="B15" s="7">
        <v>-2223</v>
      </c>
      <c r="C15" s="7"/>
      <c r="D15" s="7">
        <v>-2182</v>
      </c>
      <c r="E15" s="7">
        <v>3255</v>
      </c>
      <c r="F15" s="7"/>
      <c r="G15" s="7"/>
      <c r="H15" s="7"/>
      <c r="I15" s="7">
        <v>-210</v>
      </c>
      <c r="J15" s="7"/>
      <c r="K15" s="7"/>
      <c r="L15" s="7">
        <v>-1360</v>
      </c>
    </row>
    <row r="16" spans="1:12" x14ac:dyDescent="0.35">
      <c r="A16" t="s">
        <v>70</v>
      </c>
      <c r="B16" s="7"/>
      <c r="C16" s="7">
        <v>-2063773</v>
      </c>
      <c r="D16" s="7">
        <v>2029621</v>
      </c>
      <c r="E16" s="7"/>
      <c r="F16" s="7"/>
      <c r="G16" s="7"/>
      <c r="H16" s="7"/>
      <c r="I16" s="7"/>
      <c r="J16" s="7"/>
      <c r="K16" s="7"/>
      <c r="L16" s="7">
        <v>-34152</v>
      </c>
    </row>
    <row r="17" spans="1:12" x14ac:dyDescent="0.35">
      <c r="A17" t="s">
        <v>231</v>
      </c>
      <c r="B17" s="7">
        <v>-64455</v>
      </c>
      <c r="C17" s="7"/>
      <c r="D17" s="7">
        <v>-1204</v>
      </c>
      <c r="E17" s="7">
        <v>-64</v>
      </c>
      <c r="F17" s="7"/>
      <c r="G17" s="7"/>
      <c r="H17" s="7"/>
      <c r="I17" s="7">
        <v>-114</v>
      </c>
      <c r="J17" s="7"/>
      <c r="K17" s="7"/>
      <c r="L17" s="7">
        <v>-65836</v>
      </c>
    </row>
    <row r="18" spans="1:12" x14ac:dyDescent="0.35">
      <c r="A18" t="s">
        <v>232</v>
      </c>
      <c r="B18" s="7">
        <v>-1291</v>
      </c>
      <c r="C18" s="7">
        <v>803</v>
      </c>
      <c r="D18" s="7"/>
      <c r="E18" s="7"/>
      <c r="F18" s="7"/>
      <c r="G18" s="7"/>
      <c r="H18" s="7"/>
      <c r="I18" s="7"/>
      <c r="J18" s="7"/>
      <c r="K18" s="7"/>
      <c r="L18" s="7">
        <v>-488</v>
      </c>
    </row>
    <row r="19" spans="1:12" x14ac:dyDescent="0.35">
      <c r="A19" t="s">
        <v>233</v>
      </c>
      <c r="B19" s="7">
        <v>-186</v>
      </c>
      <c r="C19" s="7">
        <v>41345</v>
      </c>
      <c r="D19" s="7">
        <v>-31499</v>
      </c>
      <c r="E19" s="7">
        <v>-9614</v>
      </c>
      <c r="F19" s="7"/>
      <c r="G19" s="7"/>
      <c r="H19" s="7"/>
      <c r="I19" s="7">
        <v>-226</v>
      </c>
      <c r="J19" s="7"/>
      <c r="K19" s="7">
        <v>-569</v>
      </c>
      <c r="L19" s="7">
        <v>-749</v>
      </c>
    </row>
    <row r="20" spans="1:12" x14ac:dyDescent="0.35">
      <c r="A20" t="s">
        <v>234</v>
      </c>
      <c r="B20" s="7">
        <v>-16528</v>
      </c>
      <c r="C20" s="7">
        <v>-58</v>
      </c>
      <c r="D20" s="7">
        <v>-108871</v>
      </c>
      <c r="E20" s="7">
        <v>-130529</v>
      </c>
      <c r="F20" s="7"/>
      <c r="G20" s="7"/>
      <c r="H20" s="7"/>
      <c r="I20" s="7">
        <v>-823</v>
      </c>
      <c r="J20" s="7">
        <v>-67463</v>
      </c>
      <c r="K20" s="7">
        <v>-7517</v>
      </c>
      <c r="L20" s="7">
        <v>-331789</v>
      </c>
    </row>
    <row r="21" spans="1:12" x14ac:dyDescent="0.35">
      <c r="A21" t="s">
        <v>235</v>
      </c>
      <c r="B21" s="7">
        <v>-1166</v>
      </c>
      <c r="C21" s="7"/>
      <c r="D21" s="7">
        <v>-23</v>
      </c>
      <c r="E21" s="7">
        <v>-1981</v>
      </c>
      <c r="F21" s="7"/>
      <c r="G21" s="7"/>
      <c r="H21" s="7">
        <v>-8</v>
      </c>
      <c r="I21" s="7">
        <v>-92</v>
      </c>
      <c r="J21" s="7">
        <v>-56217</v>
      </c>
      <c r="K21" s="7">
        <v>-5935</v>
      </c>
      <c r="L21" s="7">
        <v>-65423</v>
      </c>
    </row>
    <row r="22" spans="1:12" x14ac:dyDescent="0.35">
      <c r="A22" t="s">
        <v>131</v>
      </c>
      <c r="B22" s="7">
        <v>108654</v>
      </c>
      <c r="C22" s="7">
        <v>6803</v>
      </c>
      <c r="D22" s="7">
        <v>1718644</v>
      </c>
      <c r="E22" s="7">
        <v>726871</v>
      </c>
      <c r="F22" s="7"/>
      <c r="G22" s="7"/>
      <c r="H22" s="7">
        <v>9697</v>
      </c>
      <c r="I22" s="7">
        <v>205340</v>
      </c>
      <c r="J22" s="7">
        <v>809815</v>
      </c>
      <c r="K22" s="7">
        <v>57549</v>
      </c>
      <c r="L22" s="7">
        <v>3643371</v>
      </c>
    </row>
    <row r="23" spans="1:12" x14ac:dyDescent="0.35">
      <c r="A23" t="s">
        <v>80</v>
      </c>
      <c r="B23" s="7">
        <v>86717</v>
      </c>
      <c r="C23" s="7">
        <v>40</v>
      </c>
      <c r="D23" s="7">
        <v>93182</v>
      </c>
      <c r="E23" s="7">
        <v>262246</v>
      </c>
      <c r="F23" s="7"/>
      <c r="G23" s="7"/>
      <c r="H23" s="7">
        <v>449</v>
      </c>
      <c r="I23" s="7">
        <v>74544</v>
      </c>
      <c r="J23" s="7">
        <v>261003</v>
      </c>
      <c r="K23" s="7">
        <v>23846</v>
      </c>
      <c r="L23" s="7">
        <v>802027</v>
      </c>
    </row>
    <row r="24" spans="1:12" x14ac:dyDescent="0.35">
      <c r="A24" t="s">
        <v>82</v>
      </c>
      <c r="B24" s="7">
        <v>12</v>
      </c>
      <c r="C24" s="7"/>
      <c r="D24" s="7">
        <v>1137839</v>
      </c>
      <c r="E24" s="7">
        <v>25034</v>
      </c>
      <c r="F24" s="7"/>
      <c r="G24" s="7"/>
      <c r="H24" s="7"/>
      <c r="I24" s="7">
        <v>51661</v>
      </c>
      <c r="J24" s="7">
        <v>9268</v>
      </c>
      <c r="K24" s="7"/>
      <c r="L24" s="7">
        <v>1223814</v>
      </c>
    </row>
    <row r="25" spans="1:12" x14ac:dyDescent="0.35">
      <c r="A25" t="s">
        <v>86</v>
      </c>
      <c r="B25" s="7">
        <v>11667</v>
      </c>
      <c r="C25" s="7"/>
      <c r="D25" s="7">
        <v>76045</v>
      </c>
      <c r="E25" s="7">
        <v>251014</v>
      </c>
      <c r="F25" s="7"/>
      <c r="G25" s="7"/>
      <c r="H25" s="7">
        <v>5471</v>
      </c>
      <c r="I25" s="7">
        <v>65619</v>
      </c>
      <c r="J25" s="7">
        <v>252285</v>
      </c>
      <c r="K25" s="7">
        <v>22283</v>
      </c>
      <c r="L25" s="7">
        <v>684384</v>
      </c>
    </row>
    <row r="26" spans="1:12" x14ac:dyDescent="0.35">
      <c r="A26" t="s">
        <v>88</v>
      </c>
      <c r="B26" s="7">
        <v>5782</v>
      </c>
      <c r="C26" s="7"/>
      <c r="D26" s="7">
        <v>47468</v>
      </c>
      <c r="E26" s="7">
        <v>145409</v>
      </c>
      <c r="F26" s="7"/>
      <c r="G26" s="7"/>
      <c r="H26" s="7">
        <v>2871</v>
      </c>
      <c r="I26" s="7">
        <v>9061</v>
      </c>
      <c r="J26" s="7">
        <v>257444</v>
      </c>
      <c r="K26" s="7">
        <v>10997</v>
      </c>
      <c r="L26" s="7">
        <v>479032</v>
      </c>
    </row>
    <row r="27" spans="1:12" x14ac:dyDescent="0.35">
      <c r="A27" t="s">
        <v>90</v>
      </c>
      <c r="B27" s="7">
        <v>1051</v>
      </c>
      <c r="C27" s="7"/>
      <c r="D27" s="7">
        <v>44089</v>
      </c>
      <c r="E27" s="7">
        <v>5911</v>
      </c>
      <c r="F27" s="7"/>
      <c r="G27" s="7"/>
      <c r="H27" s="7">
        <v>773</v>
      </c>
      <c r="I27" s="7">
        <v>3797</v>
      </c>
      <c r="J27" s="7">
        <v>12127</v>
      </c>
      <c r="K27" s="7">
        <v>224</v>
      </c>
      <c r="L27" s="7">
        <v>67971</v>
      </c>
    </row>
    <row r="28" spans="1:12" x14ac:dyDescent="0.35">
      <c r="A28" t="s">
        <v>92</v>
      </c>
      <c r="B28" s="7"/>
      <c r="C28" s="7"/>
      <c r="D28" s="7">
        <v>4278</v>
      </c>
      <c r="E28" s="7">
        <v>55</v>
      </c>
      <c r="F28" s="7"/>
      <c r="G28" s="7"/>
      <c r="H28" s="7">
        <v>43</v>
      </c>
      <c r="I28" s="7">
        <v>14</v>
      </c>
      <c r="J28" s="7">
        <v>458</v>
      </c>
      <c r="K28" s="7">
        <v>22</v>
      </c>
      <c r="L28" s="7">
        <v>4870</v>
      </c>
    </row>
    <row r="29" spans="1:12" x14ac:dyDescent="0.35">
      <c r="A29" t="s">
        <v>94</v>
      </c>
      <c r="B29" s="7">
        <v>36</v>
      </c>
      <c r="C29" s="7"/>
      <c r="D29" s="7">
        <v>3709</v>
      </c>
      <c r="E29" s="7">
        <v>1132</v>
      </c>
      <c r="F29" s="7"/>
      <c r="G29" s="7"/>
      <c r="H29" s="7">
        <v>89</v>
      </c>
      <c r="I29" s="7">
        <v>644</v>
      </c>
      <c r="J29" s="7">
        <v>17231</v>
      </c>
      <c r="K29" s="7">
        <v>176</v>
      </c>
      <c r="L29" s="7">
        <v>23017</v>
      </c>
    </row>
    <row r="30" spans="1:12" x14ac:dyDescent="0.35">
      <c r="A30" t="s">
        <v>236</v>
      </c>
      <c r="B30" s="7">
        <v>3389</v>
      </c>
      <c r="C30" s="7">
        <v>6763</v>
      </c>
      <c r="D30" s="7">
        <v>312034</v>
      </c>
      <c r="E30" s="7">
        <v>36071</v>
      </c>
      <c r="F30" s="7"/>
      <c r="G30" s="7"/>
      <c r="H30" s="7"/>
      <c r="I30" s="7"/>
      <c r="J30" s="7"/>
      <c r="K30" s="7"/>
      <c r="L30" s="7">
        <v>358256</v>
      </c>
    </row>
    <row r="32" spans="1:12" x14ac:dyDescent="0.35">
      <c r="B32" s="7">
        <f>SUM(B9,B10:B21,B22*-1)</f>
        <v>0</v>
      </c>
      <c r="C32" s="7">
        <f t="shared" ref="C32:L32" si="0">SUM(C9,C10:C21,C22*-1)</f>
        <v>-1</v>
      </c>
      <c r="D32" s="7">
        <f t="shared" si="0"/>
        <v>0</v>
      </c>
      <c r="E32" s="7">
        <f t="shared" si="0"/>
        <v>1</v>
      </c>
      <c r="F32" s="7">
        <f t="shared" si="0"/>
        <v>1</v>
      </c>
      <c r="G32" s="7">
        <f t="shared" si="0"/>
        <v>0</v>
      </c>
      <c r="H32" s="7">
        <f t="shared" si="0"/>
        <v>0</v>
      </c>
      <c r="I32" s="7">
        <f t="shared" si="0"/>
        <v>-1</v>
      </c>
      <c r="J32" s="7">
        <f t="shared" si="0"/>
        <v>-1</v>
      </c>
      <c r="K32" s="7">
        <f t="shared" si="0"/>
        <v>-1</v>
      </c>
      <c r="L32" s="7">
        <f t="shared" si="0"/>
        <v>-1</v>
      </c>
    </row>
  </sheetData>
  <pageMargins left="0.7" right="0.7" top="0.75" bottom="0.75" header="0.3" footer="0.3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 codeName="Ark59"/>
  <dimension ref="A1:L32"/>
  <sheetViews>
    <sheetView workbookViewId="0">
      <selection activeCell="F36" sqref="F36"/>
    </sheetView>
  </sheetViews>
  <sheetFormatPr defaultRowHeight="14.5" x14ac:dyDescent="0.35"/>
  <cols>
    <col min="1" max="1" width="30" customWidth="1"/>
    <col min="2" max="2" width="11.54296875" customWidth="1"/>
    <col min="3" max="3" width="12" customWidth="1"/>
    <col min="4" max="4" width="14.54296875" customWidth="1"/>
    <col min="5" max="5" width="14.1796875" customWidth="1"/>
    <col min="8" max="8" width="22.81640625" customWidth="1"/>
    <col min="9" max="9" width="21.81640625" customWidth="1"/>
    <col min="10" max="10" width="13.81640625" customWidth="1"/>
    <col min="11" max="11" width="12.26953125" customWidth="1"/>
    <col min="12" max="12" width="11.81640625" customWidth="1"/>
  </cols>
  <sheetData>
    <row r="1" spans="1:12" x14ac:dyDescent="0.35">
      <c r="B1" t="s">
        <v>214</v>
      </c>
      <c r="C1" t="s">
        <v>2</v>
      </c>
      <c r="D1" t="s">
        <v>215</v>
      </c>
      <c r="E1" t="s">
        <v>216</v>
      </c>
      <c r="F1" t="s">
        <v>5</v>
      </c>
      <c r="G1" t="s">
        <v>6</v>
      </c>
      <c r="H1" t="s">
        <v>217</v>
      </c>
      <c r="I1" t="s">
        <v>8</v>
      </c>
      <c r="J1" t="s">
        <v>9</v>
      </c>
      <c r="K1" t="s">
        <v>10</v>
      </c>
      <c r="L1" t="s">
        <v>218</v>
      </c>
    </row>
    <row r="2" spans="1:12" x14ac:dyDescent="0.35">
      <c r="B2" t="s">
        <v>219</v>
      </c>
      <c r="C2" t="s">
        <v>219</v>
      </c>
      <c r="D2" t="s">
        <v>219</v>
      </c>
      <c r="E2" t="s">
        <v>219</v>
      </c>
      <c r="F2" t="s">
        <v>219</v>
      </c>
      <c r="G2" t="s">
        <v>219</v>
      </c>
      <c r="H2" t="s">
        <v>219</v>
      </c>
      <c r="I2" t="s">
        <v>219</v>
      </c>
      <c r="J2" t="s">
        <v>219</v>
      </c>
      <c r="K2" t="s">
        <v>219</v>
      </c>
      <c r="L2" t="s">
        <v>219</v>
      </c>
    </row>
    <row r="3" spans="1:12" x14ac:dyDescent="0.35">
      <c r="A3" t="s">
        <v>17</v>
      </c>
      <c r="B3" s="7">
        <v>832239</v>
      </c>
      <c r="C3" s="7">
        <v>1237565</v>
      </c>
      <c r="D3" s="7"/>
      <c r="E3" s="7">
        <v>1206500</v>
      </c>
      <c r="F3" s="7">
        <v>515808</v>
      </c>
      <c r="G3" s="7">
        <v>123014</v>
      </c>
      <c r="H3" s="7">
        <v>140668</v>
      </c>
      <c r="I3" s="7">
        <v>321650</v>
      </c>
      <c r="J3" s="7"/>
      <c r="K3" s="7">
        <v>1271</v>
      </c>
      <c r="L3" s="7">
        <v>4378716</v>
      </c>
    </row>
    <row r="4" spans="1:12" x14ac:dyDescent="0.35">
      <c r="A4" t="s">
        <v>220</v>
      </c>
      <c r="B4" s="7">
        <v>355293</v>
      </c>
      <c r="C4" s="7">
        <v>1438185</v>
      </c>
      <c r="D4" s="7">
        <v>659870</v>
      </c>
      <c r="E4" s="7">
        <v>684911</v>
      </c>
      <c r="F4" s="7"/>
      <c r="G4" s="7"/>
      <c r="H4" s="7"/>
      <c r="I4" s="7">
        <v>26707</v>
      </c>
      <c r="J4" s="7">
        <v>42265</v>
      </c>
      <c r="K4" s="7">
        <v>6</v>
      </c>
      <c r="L4" s="7">
        <v>3207237</v>
      </c>
    </row>
    <row r="5" spans="1:12" x14ac:dyDescent="0.35">
      <c r="A5" t="s">
        <v>221</v>
      </c>
      <c r="B5" s="7">
        <v>-351119</v>
      </c>
      <c r="C5" s="7">
        <v>-525055</v>
      </c>
      <c r="D5" s="7">
        <v>-717008</v>
      </c>
      <c r="E5" s="7">
        <v>-392040</v>
      </c>
      <c r="F5" s="7"/>
      <c r="G5" s="7"/>
      <c r="H5" s="7"/>
      <c r="I5" s="7">
        <v>-18859</v>
      </c>
      <c r="J5" s="7">
        <v>-41250</v>
      </c>
      <c r="K5" s="7">
        <v>-2</v>
      </c>
      <c r="L5" s="7">
        <v>-2045333</v>
      </c>
    </row>
    <row r="6" spans="1:12" x14ac:dyDescent="0.35">
      <c r="A6" t="s">
        <v>222</v>
      </c>
      <c r="B6" s="7"/>
      <c r="C6" s="7"/>
      <c r="D6" s="7">
        <v>-82168</v>
      </c>
      <c r="E6" s="7">
        <v>-90</v>
      </c>
      <c r="F6" s="7"/>
      <c r="G6" s="7"/>
      <c r="H6" s="7"/>
      <c r="I6" s="7">
        <v>-154</v>
      </c>
      <c r="J6" s="7"/>
      <c r="K6" s="7"/>
      <c r="L6" s="7">
        <v>-82412</v>
      </c>
    </row>
    <row r="7" spans="1:12" x14ac:dyDescent="0.35">
      <c r="A7" t="s">
        <v>223</v>
      </c>
      <c r="B7" s="7"/>
      <c r="C7" s="7"/>
      <c r="D7" s="7">
        <v>-108957</v>
      </c>
      <c r="E7" s="7"/>
      <c r="F7" s="7"/>
      <c r="G7" s="7"/>
      <c r="H7" s="7"/>
      <c r="I7" s="7"/>
      <c r="J7" s="7"/>
      <c r="K7" s="7"/>
      <c r="L7" s="7">
        <v>-108957</v>
      </c>
    </row>
    <row r="8" spans="1:12" x14ac:dyDescent="0.35">
      <c r="A8" t="s">
        <v>224</v>
      </c>
      <c r="B8" s="7">
        <v>17922</v>
      </c>
      <c r="C8" s="7">
        <v>56</v>
      </c>
      <c r="D8" s="7">
        <v>1960</v>
      </c>
      <c r="E8" s="7">
        <v>657</v>
      </c>
      <c r="F8" s="7"/>
      <c r="G8" s="7"/>
      <c r="H8" s="7"/>
      <c r="I8" s="7">
        <v>-425</v>
      </c>
      <c r="J8" s="7"/>
      <c r="K8" s="7"/>
      <c r="L8" s="7">
        <v>20169</v>
      </c>
    </row>
    <row r="9" spans="1:12" x14ac:dyDescent="0.35">
      <c r="A9" t="s">
        <v>225</v>
      </c>
      <c r="B9" s="7">
        <v>854335</v>
      </c>
      <c r="C9" s="7">
        <v>2150751</v>
      </c>
      <c r="D9" s="7">
        <v>-246303</v>
      </c>
      <c r="E9" s="7">
        <v>1499938</v>
      </c>
      <c r="F9" s="7">
        <v>515808</v>
      </c>
      <c r="G9" s="7">
        <v>123014</v>
      </c>
      <c r="H9" s="7">
        <v>140668</v>
      </c>
      <c r="I9" s="7">
        <v>328919</v>
      </c>
      <c r="J9" s="7">
        <v>1014</v>
      </c>
      <c r="K9" s="7">
        <v>1275</v>
      </c>
      <c r="L9" s="7">
        <v>5369420</v>
      </c>
    </row>
    <row r="10" spans="1:12" x14ac:dyDescent="0.35">
      <c r="A10" t="s">
        <v>226</v>
      </c>
      <c r="B10" s="7"/>
      <c r="C10" s="7">
        <v>-101230</v>
      </c>
      <c r="D10" s="7">
        <v>119733</v>
      </c>
      <c r="E10" s="7"/>
      <c r="F10" s="7"/>
      <c r="G10" s="7"/>
      <c r="H10" s="7"/>
      <c r="I10" s="7"/>
      <c r="J10" s="7"/>
      <c r="K10" s="7"/>
      <c r="L10" s="7">
        <v>18503</v>
      </c>
    </row>
    <row r="11" spans="1:12" x14ac:dyDescent="0.35">
      <c r="A11" t="s">
        <v>227</v>
      </c>
      <c r="B11" s="7">
        <v>-385</v>
      </c>
      <c r="C11" s="7">
        <v>2646</v>
      </c>
      <c r="D11" s="7">
        <v>14559</v>
      </c>
      <c r="E11" s="7">
        <v>2379</v>
      </c>
      <c r="F11" s="7"/>
      <c r="G11" s="7"/>
      <c r="H11" s="7">
        <v>-42</v>
      </c>
      <c r="I11" s="7">
        <v>51</v>
      </c>
      <c r="J11" s="7">
        <v>423</v>
      </c>
      <c r="K11" s="7">
        <v>-116</v>
      </c>
      <c r="L11" s="7">
        <v>19515</v>
      </c>
    </row>
    <row r="12" spans="1:12" x14ac:dyDescent="0.35">
      <c r="A12" t="s">
        <v>228</v>
      </c>
      <c r="B12" s="7">
        <v>-594566</v>
      </c>
      <c r="C12" s="7">
        <v>-505</v>
      </c>
      <c r="D12" s="7">
        <v>-36620</v>
      </c>
      <c r="E12" s="7">
        <v>-438070</v>
      </c>
      <c r="F12" s="7">
        <v>-512893</v>
      </c>
      <c r="G12" s="7">
        <v>-123014</v>
      </c>
      <c r="H12" s="7">
        <v>-124790</v>
      </c>
      <c r="I12" s="7">
        <v>-52061</v>
      </c>
      <c r="J12" s="7">
        <v>863521</v>
      </c>
      <c r="K12" s="7">
        <v>-543</v>
      </c>
      <c r="L12" s="7">
        <v>-1019542</v>
      </c>
    </row>
    <row r="13" spans="1:12" x14ac:dyDescent="0.35">
      <c r="A13" t="s">
        <v>66</v>
      </c>
      <c r="B13" s="7">
        <v>-69518</v>
      </c>
      <c r="C13" s="7"/>
      <c r="D13" s="7">
        <v>-11073</v>
      </c>
      <c r="E13" s="7">
        <v>-114727</v>
      </c>
      <c r="F13" s="7">
        <v>-2915</v>
      </c>
      <c r="G13" s="7"/>
      <c r="H13" s="7">
        <v>-2921</v>
      </c>
      <c r="I13" s="7">
        <v>-50278</v>
      </c>
      <c r="J13" s="7">
        <v>97181</v>
      </c>
      <c r="K13" s="7">
        <v>56528</v>
      </c>
      <c r="L13" s="7">
        <v>-97722</v>
      </c>
    </row>
    <row r="14" spans="1:12" x14ac:dyDescent="0.35">
      <c r="A14" t="s">
        <v>229</v>
      </c>
      <c r="B14" s="7">
        <v>-3471</v>
      </c>
      <c r="C14" s="7"/>
      <c r="D14" s="7">
        <v>-878</v>
      </c>
      <c r="E14" s="7">
        <v>-8462</v>
      </c>
      <c r="F14" s="7"/>
      <c r="G14" s="7"/>
      <c r="H14" s="7">
        <v>-1603</v>
      </c>
      <c r="I14" s="7">
        <v>-7604</v>
      </c>
      <c r="J14" s="7">
        <v>-375</v>
      </c>
      <c r="K14" s="7">
        <v>19046</v>
      </c>
      <c r="L14" s="7">
        <v>-3347</v>
      </c>
    </row>
    <row r="15" spans="1:12" x14ac:dyDescent="0.35">
      <c r="A15" t="s">
        <v>230</v>
      </c>
      <c r="B15" s="7">
        <v>-2432</v>
      </c>
      <c r="C15" s="7"/>
      <c r="D15" s="7">
        <v>-2529</v>
      </c>
      <c r="E15" s="7">
        <v>3635</v>
      </c>
      <c r="F15" s="7"/>
      <c r="G15" s="7"/>
      <c r="H15" s="7"/>
      <c r="I15" s="7">
        <v>-664</v>
      </c>
      <c r="J15" s="7"/>
      <c r="K15" s="7"/>
      <c r="L15" s="7">
        <v>-1990</v>
      </c>
    </row>
    <row r="16" spans="1:12" x14ac:dyDescent="0.35">
      <c r="A16" t="s">
        <v>70</v>
      </c>
      <c r="B16" s="7"/>
      <c r="C16" s="7">
        <v>-2088702</v>
      </c>
      <c r="D16" s="7">
        <v>2052406</v>
      </c>
      <c r="E16" s="7"/>
      <c r="F16" s="7"/>
      <c r="G16" s="7"/>
      <c r="H16" s="7"/>
      <c r="I16" s="7"/>
      <c r="J16" s="7"/>
      <c r="K16" s="7"/>
      <c r="L16" s="7">
        <v>-36296</v>
      </c>
    </row>
    <row r="17" spans="1:12" x14ac:dyDescent="0.35">
      <c r="A17" t="s">
        <v>231</v>
      </c>
      <c r="B17" s="7">
        <v>-63495</v>
      </c>
      <c r="C17" s="7"/>
      <c r="D17" s="7">
        <v>-845</v>
      </c>
      <c r="E17" s="7">
        <v>-56</v>
      </c>
      <c r="F17" s="7"/>
      <c r="G17" s="7"/>
      <c r="H17" s="7"/>
      <c r="I17" s="7">
        <v>-108</v>
      </c>
      <c r="J17" s="7"/>
      <c r="K17" s="7"/>
      <c r="L17" s="7">
        <v>-64504</v>
      </c>
    </row>
    <row r="18" spans="1:12" x14ac:dyDescent="0.35">
      <c r="A18" t="s">
        <v>232</v>
      </c>
      <c r="B18" s="7">
        <v>-1673</v>
      </c>
      <c r="C18" s="7">
        <v>1044</v>
      </c>
      <c r="D18" s="7"/>
      <c r="E18" s="7"/>
      <c r="F18" s="7"/>
      <c r="G18" s="7"/>
      <c r="H18" s="7"/>
      <c r="I18" s="7"/>
      <c r="J18" s="7"/>
      <c r="K18" s="7"/>
      <c r="L18" s="7">
        <v>-629</v>
      </c>
    </row>
    <row r="19" spans="1:12" x14ac:dyDescent="0.35">
      <c r="A19" t="s">
        <v>233</v>
      </c>
      <c r="B19" s="7">
        <v>-156</v>
      </c>
      <c r="C19" s="7">
        <v>43626</v>
      </c>
      <c r="D19" s="7">
        <v>-32887</v>
      </c>
      <c r="E19" s="7">
        <v>-10328</v>
      </c>
      <c r="F19" s="7"/>
      <c r="G19" s="7"/>
      <c r="H19" s="7"/>
      <c r="I19" s="7">
        <v>-296</v>
      </c>
      <c r="J19" s="7"/>
      <c r="K19" s="7">
        <v>-541</v>
      </c>
      <c r="L19" s="7">
        <v>-583</v>
      </c>
    </row>
    <row r="20" spans="1:12" x14ac:dyDescent="0.35">
      <c r="A20" t="s">
        <v>234</v>
      </c>
      <c r="B20" s="7">
        <v>-16405</v>
      </c>
      <c r="C20" s="7">
        <v>-89</v>
      </c>
      <c r="D20" s="7">
        <v>-100001</v>
      </c>
      <c r="E20" s="7">
        <v>-138645</v>
      </c>
      <c r="F20" s="7"/>
      <c r="G20" s="7"/>
      <c r="H20" s="7"/>
      <c r="I20" s="7">
        <v>-881</v>
      </c>
      <c r="J20" s="7">
        <v>-71967</v>
      </c>
      <c r="K20" s="7">
        <v>-8211</v>
      </c>
      <c r="L20" s="7">
        <v>-336199</v>
      </c>
    </row>
    <row r="21" spans="1:12" x14ac:dyDescent="0.35">
      <c r="A21" t="s">
        <v>235</v>
      </c>
      <c r="B21" s="7">
        <v>-658</v>
      </c>
      <c r="C21" s="7"/>
      <c r="D21" s="7">
        <v>-10</v>
      </c>
      <c r="E21" s="7">
        <v>-1907</v>
      </c>
      <c r="F21" s="7"/>
      <c r="G21" s="7"/>
      <c r="H21" s="7">
        <v>-9</v>
      </c>
      <c r="I21" s="7">
        <v>-99</v>
      </c>
      <c r="J21" s="7">
        <v>-53333</v>
      </c>
      <c r="K21" s="7">
        <v>-6245</v>
      </c>
      <c r="L21" s="7">
        <v>-62261</v>
      </c>
    </row>
    <row r="22" spans="1:12" x14ac:dyDescent="0.35">
      <c r="A22" t="s">
        <v>131</v>
      </c>
      <c r="B22" s="7">
        <v>101576</v>
      </c>
      <c r="C22" s="7">
        <v>7541</v>
      </c>
      <c r="D22" s="7">
        <v>1755552</v>
      </c>
      <c r="E22" s="7">
        <v>793757</v>
      </c>
      <c r="F22" s="7"/>
      <c r="G22" s="7"/>
      <c r="H22" s="7">
        <v>11302</v>
      </c>
      <c r="I22" s="7">
        <v>216980</v>
      </c>
      <c r="J22" s="7">
        <v>836464</v>
      </c>
      <c r="K22" s="7">
        <v>61193</v>
      </c>
      <c r="L22" s="7">
        <v>3784366</v>
      </c>
    </row>
    <row r="23" spans="1:12" x14ac:dyDescent="0.35">
      <c r="A23" t="s">
        <v>80</v>
      </c>
      <c r="B23" s="7">
        <v>82361</v>
      </c>
      <c r="C23" s="7">
        <v>38</v>
      </c>
      <c r="D23" s="7">
        <v>93063</v>
      </c>
      <c r="E23" s="7">
        <v>282598</v>
      </c>
      <c r="F23" s="7"/>
      <c r="G23" s="7"/>
      <c r="H23" s="7">
        <v>474</v>
      </c>
      <c r="I23" s="7">
        <v>81606</v>
      </c>
      <c r="J23" s="7">
        <v>265204</v>
      </c>
      <c r="K23" s="7">
        <v>25206</v>
      </c>
      <c r="L23" s="7">
        <v>830550</v>
      </c>
    </row>
    <row r="24" spans="1:12" x14ac:dyDescent="0.35">
      <c r="A24" t="s">
        <v>82</v>
      </c>
      <c r="B24" s="7">
        <v>13</v>
      </c>
      <c r="C24" s="7"/>
      <c r="D24" s="7">
        <v>1175741</v>
      </c>
      <c r="E24" s="7">
        <v>30804</v>
      </c>
      <c r="F24" s="7"/>
      <c r="G24" s="7"/>
      <c r="H24" s="7"/>
      <c r="I24" s="7">
        <v>57807</v>
      </c>
      <c r="J24" s="7">
        <v>10031</v>
      </c>
      <c r="K24" s="7"/>
      <c r="L24" s="7">
        <v>1274396</v>
      </c>
    </row>
    <row r="25" spans="1:12" x14ac:dyDescent="0.35">
      <c r="A25" t="s">
        <v>86</v>
      </c>
      <c r="B25" s="7">
        <v>11171</v>
      </c>
      <c r="C25" s="7"/>
      <c r="D25" s="7">
        <v>70621</v>
      </c>
      <c r="E25" s="7">
        <v>267744</v>
      </c>
      <c r="F25" s="7"/>
      <c r="G25" s="7"/>
      <c r="H25" s="7">
        <v>7060</v>
      </c>
      <c r="I25" s="7">
        <v>63701</v>
      </c>
      <c r="J25" s="7">
        <v>259913</v>
      </c>
      <c r="K25" s="7">
        <v>23091</v>
      </c>
      <c r="L25" s="7">
        <v>703301</v>
      </c>
    </row>
    <row r="26" spans="1:12" x14ac:dyDescent="0.35">
      <c r="A26" t="s">
        <v>88</v>
      </c>
      <c r="B26" s="7">
        <v>3488</v>
      </c>
      <c r="C26" s="7"/>
      <c r="D26" s="7">
        <v>42528</v>
      </c>
      <c r="E26" s="7">
        <v>158736</v>
      </c>
      <c r="F26" s="7"/>
      <c r="G26" s="7"/>
      <c r="H26" s="7">
        <v>2732</v>
      </c>
      <c r="I26" s="7">
        <v>8970</v>
      </c>
      <c r="J26" s="7">
        <v>263494</v>
      </c>
      <c r="K26" s="7">
        <v>12526</v>
      </c>
      <c r="L26" s="7">
        <v>492474</v>
      </c>
    </row>
    <row r="27" spans="1:12" x14ac:dyDescent="0.35">
      <c r="A27" t="s">
        <v>90</v>
      </c>
      <c r="B27" s="7">
        <v>1075</v>
      </c>
      <c r="C27" s="7"/>
      <c r="D27" s="7">
        <v>47966</v>
      </c>
      <c r="E27" s="7">
        <v>6156</v>
      </c>
      <c r="F27" s="7"/>
      <c r="G27" s="7"/>
      <c r="H27" s="7">
        <v>863</v>
      </c>
      <c r="I27" s="7">
        <v>4325</v>
      </c>
      <c r="J27" s="7">
        <v>13696</v>
      </c>
      <c r="K27" s="7">
        <v>241</v>
      </c>
      <c r="L27" s="7">
        <v>74322</v>
      </c>
    </row>
    <row r="28" spans="1:12" x14ac:dyDescent="0.35">
      <c r="A28" t="s">
        <v>92</v>
      </c>
      <c r="B28" s="7">
        <v>1</v>
      </c>
      <c r="C28" s="7"/>
      <c r="D28" s="7">
        <v>4040</v>
      </c>
      <c r="E28" s="7">
        <v>46</v>
      </c>
      <c r="F28" s="7"/>
      <c r="G28" s="7"/>
      <c r="H28" s="7">
        <v>58</v>
      </c>
      <c r="I28" s="7">
        <v>18</v>
      </c>
      <c r="J28" s="7">
        <v>488</v>
      </c>
      <c r="K28" s="7">
        <v>41</v>
      </c>
      <c r="L28" s="7">
        <v>4692</v>
      </c>
    </row>
    <row r="29" spans="1:12" x14ac:dyDescent="0.35">
      <c r="A29" t="s">
        <v>94</v>
      </c>
      <c r="B29" s="7">
        <v>151</v>
      </c>
      <c r="C29" s="7"/>
      <c r="D29" s="7">
        <v>3472</v>
      </c>
      <c r="E29" s="7">
        <v>1044</v>
      </c>
      <c r="F29" s="7"/>
      <c r="G29" s="7"/>
      <c r="H29" s="7">
        <v>115</v>
      </c>
      <c r="I29" s="7">
        <v>553</v>
      </c>
      <c r="J29" s="7">
        <v>23637</v>
      </c>
      <c r="K29" s="7">
        <v>89</v>
      </c>
      <c r="L29" s="7">
        <v>29062</v>
      </c>
    </row>
    <row r="30" spans="1:12" x14ac:dyDescent="0.35">
      <c r="A30" t="s">
        <v>236</v>
      </c>
      <c r="B30" s="7">
        <v>3316</v>
      </c>
      <c r="C30" s="7">
        <v>7503</v>
      </c>
      <c r="D30" s="7">
        <v>318122</v>
      </c>
      <c r="E30" s="7">
        <v>46629</v>
      </c>
      <c r="F30" s="7"/>
      <c r="G30" s="7"/>
      <c r="H30" s="7"/>
      <c r="I30" s="7"/>
      <c r="J30" s="7"/>
      <c r="K30" s="7"/>
      <c r="L30" s="7">
        <v>375570</v>
      </c>
    </row>
    <row r="32" spans="1:12" x14ac:dyDescent="0.35">
      <c r="B32" s="7">
        <f>SUM(B9,B10:B21,B22*-1)</f>
        <v>0</v>
      </c>
      <c r="C32" s="7">
        <f t="shared" ref="C32:L32" si="0">SUM(C9,C10:C21,C22*-1)</f>
        <v>0</v>
      </c>
      <c r="D32" s="7">
        <f t="shared" si="0"/>
        <v>0</v>
      </c>
      <c r="E32" s="7">
        <f t="shared" si="0"/>
        <v>0</v>
      </c>
      <c r="F32" s="7">
        <f t="shared" si="0"/>
        <v>0</v>
      </c>
      <c r="G32" s="7">
        <f t="shared" si="0"/>
        <v>0</v>
      </c>
      <c r="H32" s="7">
        <f t="shared" si="0"/>
        <v>1</v>
      </c>
      <c r="I32" s="7">
        <f t="shared" si="0"/>
        <v>-1</v>
      </c>
      <c r="J32" s="7">
        <f t="shared" si="0"/>
        <v>0</v>
      </c>
      <c r="K32" s="7">
        <f t="shared" si="0"/>
        <v>0</v>
      </c>
      <c r="L32" s="7">
        <f t="shared" si="0"/>
        <v>-1</v>
      </c>
    </row>
  </sheetData>
  <pageMargins left="0.7" right="0.7" top="0.75" bottom="0.75" header="0.3" footer="0.3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 codeName="Ark60"/>
  <dimension ref="A1:AH30"/>
  <sheetViews>
    <sheetView topLeftCell="I1" zoomScale="130" zoomScaleNormal="130" workbookViewId="0">
      <selection activeCell="R16" sqref="R16"/>
    </sheetView>
  </sheetViews>
  <sheetFormatPr defaultRowHeight="14.5" x14ac:dyDescent="0.35"/>
  <cols>
    <col min="3" max="3" width="16.453125" customWidth="1"/>
    <col min="4" max="4" width="12.81640625" customWidth="1"/>
    <col min="5" max="5" width="12.54296875" customWidth="1"/>
    <col min="6" max="6" width="16.54296875" customWidth="1"/>
    <col min="10" max="10" width="12.54296875" customWidth="1"/>
    <col min="11" max="11" width="11.54296875" customWidth="1"/>
    <col min="14" max="14" width="10.81640625" customWidth="1"/>
    <col min="15" max="15" width="51.54296875" customWidth="1"/>
    <col min="16" max="18" width="15.81640625" customWidth="1"/>
    <col min="19" max="19" width="12.81640625" customWidth="1"/>
    <col min="24" max="24" width="14.1796875" bestFit="1" customWidth="1"/>
    <col min="33" max="34" width="11.26953125" customWidth="1"/>
  </cols>
  <sheetData>
    <row r="1" spans="1:34" ht="140" x14ac:dyDescent="0.35">
      <c r="B1" s="44" t="s">
        <v>0</v>
      </c>
      <c r="C1" s="3" t="s">
        <v>1</v>
      </c>
      <c r="D1" s="8" t="s">
        <v>2</v>
      </c>
      <c r="E1" s="2" t="s">
        <v>3</v>
      </c>
      <c r="F1" s="3" t="s">
        <v>4</v>
      </c>
      <c r="G1" s="1" t="s">
        <v>5</v>
      </c>
      <c r="H1" s="1" t="s">
        <v>6</v>
      </c>
      <c r="I1" s="1" t="s">
        <v>7</v>
      </c>
      <c r="J1" s="3" t="s">
        <v>8</v>
      </c>
      <c r="K1" s="2" t="s">
        <v>9</v>
      </c>
      <c r="L1" s="2" t="s">
        <v>10</v>
      </c>
      <c r="M1" s="17" t="s">
        <v>11</v>
      </c>
      <c r="N1" s="5" t="s">
        <v>12</v>
      </c>
      <c r="O1" s="4" t="s">
        <v>264</v>
      </c>
      <c r="P1" s="60"/>
      <c r="Q1" s="60"/>
      <c r="R1" s="12" t="s">
        <v>14</v>
      </c>
      <c r="S1" s="11" t="s">
        <v>15</v>
      </c>
      <c r="T1" s="12" t="s">
        <v>16</v>
      </c>
      <c r="U1" s="44" t="s">
        <v>17</v>
      </c>
      <c r="V1" s="3" t="s">
        <v>1</v>
      </c>
      <c r="W1" s="8" t="s">
        <v>2</v>
      </c>
      <c r="X1" s="9" t="s">
        <v>3</v>
      </c>
      <c r="Y1" s="3" t="s">
        <v>4</v>
      </c>
      <c r="Z1" s="1" t="s">
        <v>5</v>
      </c>
      <c r="AA1" s="1" t="s">
        <v>6</v>
      </c>
      <c r="AB1" s="1" t="s">
        <v>7</v>
      </c>
      <c r="AC1" s="3" t="s">
        <v>8</v>
      </c>
      <c r="AD1" s="2" t="s">
        <v>9</v>
      </c>
      <c r="AE1" s="2" t="s">
        <v>10</v>
      </c>
      <c r="AF1" s="17" t="s">
        <v>11</v>
      </c>
      <c r="AG1" s="13" t="s">
        <v>18</v>
      </c>
      <c r="AH1" s="13" t="s">
        <v>19</v>
      </c>
    </row>
    <row r="2" spans="1:34" ht="24.75" customHeight="1" x14ac:dyDescent="0.35">
      <c r="A2" s="45" t="s">
        <v>20</v>
      </c>
      <c r="B2" s="46" t="s">
        <v>21</v>
      </c>
      <c r="C2" s="46" t="s">
        <v>22</v>
      </c>
      <c r="D2" s="46" t="s">
        <v>23</v>
      </c>
      <c r="E2" s="47" t="s">
        <v>24</v>
      </c>
      <c r="F2" s="46" t="s">
        <v>25</v>
      </c>
      <c r="G2" s="46" t="s">
        <v>26</v>
      </c>
      <c r="H2" s="46" t="s">
        <v>27</v>
      </c>
      <c r="I2" s="46" t="s">
        <v>28</v>
      </c>
      <c r="J2" s="48" t="s">
        <v>29</v>
      </c>
      <c r="K2" s="47" t="s">
        <v>30</v>
      </c>
      <c r="L2" s="49" t="s">
        <v>31</v>
      </c>
      <c r="M2" s="49" t="s">
        <v>32</v>
      </c>
      <c r="N2" s="50" t="s">
        <v>33</v>
      </c>
      <c r="O2" s="51"/>
      <c r="P2" s="52" t="s">
        <v>20</v>
      </c>
      <c r="Q2" s="53" t="s">
        <v>34</v>
      </c>
      <c r="R2" s="50" t="s">
        <v>35</v>
      </c>
      <c r="S2" s="54" t="s">
        <v>36</v>
      </c>
      <c r="T2" s="50" t="s">
        <v>37</v>
      </c>
      <c r="U2" s="46" t="s">
        <v>38</v>
      </c>
      <c r="V2" s="46" t="s">
        <v>39</v>
      </c>
      <c r="W2" s="46" t="s">
        <v>40</v>
      </c>
      <c r="X2" s="47" t="s">
        <v>41</v>
      </c>
      <c r="Y2" s="46" t="s">
        <v>42</v>
      </c>
      <c r="Z2" s="46" t="s">
        <v>43</v>
      </c>
      <c r="AA2" s="46" t="s">
        <v>44</v>
      </c>
      <c r="AB2" s="46" t="s">
        <v>45</v>
      </c>
      <c r="AC2" s="46" t="s">
        <v>46</v>
      </c>
      <c r="AD2" s="47" t="s">
        <v>47</v>
      </c>
      <c r="AE2" s="47" t="s">
        <v>48</v>
      </c>
      <c r="AF2" s="49" t="s">
        <v>49</v>
      </c>
      <c r="AG2" s="46" t="s">
        <v>50</v>
      </c>
      <c r="AH2" s="46" t="s">
        <v>51</v>
      </c>
    </row>
    <row r="3" spans="1:34" ht="24.75" customHeight="1" x14ac:dyDescent="0.35">
      <c r="A3" s="45" t="s">
        <v>34</v>
      </c>
      <c r="B3" s="55"/>
      <c r="C3" s="56" t="s">
        <v>52</v>
      </c>
      <c r="D3" s="56" t="s">
        <v>52</v>
      </c>
      <c r="E3" s="56" t="s">
        <v>21</v>
      </c>
      <c r="F3" s="56" t="s">
        <v>21</v>
      </c>
      <c r="G3" s="56" t="s">
        <v>21</v>
      </c>
      <c r="H3" s="56" t="s">
        <v>52</v>
      </c>
      <c r="I3" s="56" t="s">
        <v>52</v>
      </c>
      <c r="J3" s="56" t="s">
        <v>21</v>
      </c>
      <c r="K3" s="56" t="s">
        <v>21</v>
      </c>
      <c r="L3" s="57" t="s">
        <v>21</v>
      </c>
      <c r="M3" s="57" t="s">
        <v>21</v>
      </c>
      <c r="N3" s="50"/>
      <c r="O3" s="51" t="s">
        <v>53</v>
      </c>
      <c r="P3" s="52"/>
      <c r="Q3" s="53"/>
      <c r="R3" s="74"/>
      <c r="S3" s="58"/>
      <c r="T3" s="59"/>
      <c r="U3" s="55"/>
      <c r="V3" s="56" t="s">
        <v>38</v>
      </c>
      <c r="W3" s="56" t="s">
        <v>38</v>
      </c>
      <c r="X3" s="56" t="s">
        <v>38</v>
      </c>
      <c r="Y3" s="56" t="s">
        <v>38</v>
      </c>
      <c r="Z3" s="56" t="s">
        <v>38</v>
      </c>
      <c r="AA3" s="56" t="s">
        <v>38</v>
      </c>
      <c r="AB3" s="56" t="s">
        <v>54</v>
      </c>
      <c r="AC3" s="56" t="s">
        <v>38</v>
      </c>
      <c r="AD3" s="56" t="s">
        <v>38</v>
      </c>
      <c r="AE3" s="56" t="s">
        <v>38</v>
      </c>
      <c r="AF3" s="57" t="s">
        <v>38</v>
      </c>
      <c r="AG3" s="56"/>
      <c r="AH3" s="56"/>
    </row>
    <row r="4" spans="1:34" ht="24.75" customHeight="1" x14ac:dyDescent="0.35">
      <c r="A4" s="72" t="s">
        <v>55</v>
      </c>
      <c r="B4" s="72">
        <f>'Størrelse på strømme'!E9</f>
        <v>0</v>
      </c>
      <c r="C4" s="56"/>
      <c r="D4" s="56"/>
      <c r="E4" s="56"/>
      <c r="F4" s="56"/>
      <c r="G4" s="56"/>
      <c r="H4" s="56"/>
      <c r="I4" s="56"/>
      <c r="J4" s="56"/>
      <c r="K4" s="56"/>
      <c r="L4" s="57"/>
      <c r="M4" s="57"/>
      <c r="N4" s="50"/>
      <c r="O4" s="51"/>
      <c r="P4" s="73"/>
      <c r="Q4" s="53"/>
      <c r="R4" s="74"/>
      <c r="S4" s="58"/>
      <c r="T4" s="59"/>
      <c r="U4" s="55">
        <f>B4</f>
        <v>0</v>
      </c>
      <c r="V4" s="56"/>
      <c r="W4" s="56"/>
      <c r="X4" s="56"/>
      <c r="Y4" s="56"/>
      <c r="Z4" s="56"/>
      <c r="AA4" s="56"/>
      <c r="AB4" s="56"/>
      <c r="AC4" s="56"/>
      <c r="AD4" s="56"/>
      <c r="AE4" s="56"/>
      <c r="AF4" s="57"/>
      <c r="AG4" s="56">
        <f>U4</f>
        <v>0</v>
      </c>
      <c r="AH4" s="56">
        <f>U4</f>
        <v>0</v>
      </c>
    </row>
    <row r="5" spans="1:34" x14ac:dyDescent="0.35">
      <c r="C5" s="14"/>
      <c r="D5" s="14"/>
      <c r="E5" s="14"/>
      <c r="F5" s="14"/>
      <c r="G5" s="14"/>
      <c r="H5" s="14"/>
      <c r="I5" s="14"/>
      <c r="J5" s="14"/>
      <c r="K5" s="14"/>
      <c r="L5" s="14"/>
      <c r="M5" s="14"/>
      <c r="N5" s="23">
        <f>SUM(C5:M5)</f>
        <v>0</v>
      </c>
      <c r="O5" s="10" t="s">
        <v>56</v>
      </c>
      <c r="P5" s="62" t="s">
        <v>57</v>
      </c>
      <c r="Q5" s="63"/>
      <c r="R5" s="63"/>
      <c r="S5" s="24">
        <f>SUM(V5:AF5)</f>
        <v>62354.734604512101</v>
      </c>
      <c r="T5" s="37"/>
      <c r="U5" s="61"/>
      <c r="V5" s="14">
        <f>-(C6+C5)</f>
        <v>9489.5021532771279</v>
      </c>
      <c r="W5" s="14">
        <f>-(D6+D5)</f>
        <v>19943.712884112028</v>
      </c>
      <c r="X5" s="14"/>
      <c r="Y5" s="14">
        <f>-(F6+F5)</f>
        <v>17174.359278493022</v>
      </c>
      <c r="Z5" s="14">
        <f>-(G6+G5)</f>
        <v>9038.0919484064798</v>
      </c>
      <c r="AA5" s="14"/>
      <c r="AB5" s="14"/>
      <c r="AC5" s="14">
        <f>-(J6+J5)</f>
        <v>6709.0683402234436</v>
      </c>
      <c r="AD5" s="14"/>
      <c r="AE5" s="14"/>
      <c r="AF5" s="14"/>
      <c r="AG5" s="14"/>
      <c r="AH5" s="14"/>
    </row>
    <row r="6" spans="1:34" x14ac:dyDescent="0.35">
      <c r="C6" s="14">
        <f>-V6</f>
        <v>-9489.5021532771279</v>
      </c>
      <c r="D6" s="14">
        <f>-W6</f>
        <v>-19943.712884112028</v>
      </c>
      <c r="E6" s="14"/>
      <c r="F6" s="14">
        <f>-Y6</f>
        <v>-17174.359278493022</v>
      </c>
      <c r="G6" s="14">
        <f>-Z6</f>
        <v>-9038.0919484064798</v>
      </c>
      <c r="H6" s="14"/>
      <c r="I6" s="14"/>
      <c r="J6" s="14">
        <f>-AC6</f>
        <v>-6709.0683402234436</v>
      </c>
      <c r="K6" s="14"/>
      <c r="L6" s="18"/>
      <c r="M6" s="18"/>
      <c r="N6" s="23">
        <f t="shared" ref="N6:N15" si="0">SUM(C6:M6)</f>
        <v>-62354.734604512101</v>
      </c>
      <c r="O6" s="22" t="s">
        <v>58</v>
      </c>
      <c r="P6" s="65" t="s">
        <v>59</v>
      </c>
      <c r="Q6" s="66"/>
      <c r="R6" s="66"/>
      <c r="S6" s="24">
        <f t="shared" ref="S6:S25" si="1">SUM(V6:AF6)</f>
        <v>62354.734604512101</v>
      </c>
      <c r="T6" s="37"/>
      <c r="U6" s="61"/>
      <c r="V6" s="14">
        <f>-(C16+C8)</f>
        <v>9489.5021532771279</v>
      </c>
      <c r="W6" s="14">
        <f>-(D16+D8)</f>
        <v>19943.712884112028</v>
      </c>
      <c r="X6" s="14"/>
      <c r="Y6" s="14">
        <f>-(F16+F8)</f>
        <v>17174.359278493022</v>
      </c>
      <c r="Z6" s="14">
        <f>-(G16+G8)</f>
        <v>9038.0919484064798</v>
      </c>
      <c r="AA6" s="14"/>
      <c r="AB6" s="14"/>
      <c r="AC6" s="14">
        <f>-(J16+J8)</f>
        <v>6709.0683402234436</v>
      </c>
      <c r="AD6" s="14"/>
      <c r="AE6" s="14"/>
      <c r="AF6" s="14"/>
      <c r="AG6" s="21">
        <f>-(N6+S6)</f>
        <v>0</v>
      </c>
      <c r="AH6" s="21"/>
    </row>
    <row r="7" spans="1:34" x14ac:dyDescent="0.35"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23">
        <f t="shared" si="0"/>
        <v>0</v>
      </c>
      <c r="O7" s="22" t="s">
        <v>60</v>
      </c>
      <c r="P7" s="67" t="s">
        <v>61</v>
      </c>
      <c r="Q7" s="66"/>
      <c r="R7" s="66"/>
      <c r="S7" s="24">
        <f t="shared" si="1"/>
        <v>4746.0429127771622</v>
      </c>
      <c r="T7" s="37"/>
      <c r="U7" s="61"/>
      <c r="V7" s="14"/>
      <c r="W7" s="14"/>
      <c r="X7" s="14"/>
      <c r="Y7" s="14"/>
      <c r="Z7" s="16"/>
      <c r="AA7" s="19">
        <f>-H8</f>
        <v>2050.6049175102594</v>
      </c>
      <c r="AB7" s="19">
        <f>-I8</f>
        <v>2695.4379952669028</v>
      </c>
      <c r="AC7" s="14"/>
      <c r="AD7" s="14"/>
      <c r="AE7" s="14"/>
      <c r="AF7" s="14"/>
      <c r="AG7" s="14"/>
      <c r="AH7" s="14"/>
    </row>
    <row r="8" spans="1:34" x14ac:dyDescent="0.35">
      <c r="C8" s="14">
        <f>SUM(C9:C13)</f>
        <v>-7709.7392176686444</v>
      </c>
      <c r="D8" s="14">
        <f t="shared" ref="D8:M8" si="2">SUM(D9:D13)</f>
        <v>-19943.712884112028</v>
      </c>
      <c r="E8" s="14">
        <f t="shared" si="2"/>
        <v>-1874.7760723836095</v>
      </c>
      <c r="F8" s="14">
        <f t="shared" si="2"/>
        <v>-6286.1224798827279</v>
      </c>
      <c r="G8" s="14">
        <f t="shared" si="2"/>
        <v>-9038.0919484064798</v>
      </c>
      <c r="H8" s="14">
        <f t="shared" si="2"/>
        <v>-2050.6049175102594</v>
      </c>
      <c r="I8" s="14">
        <f t="shared" si="2"/>
        <v>-2695.4379952669028</v>
      </c>
      <c r="J8" s="14">
        <f t="shared" si="2"/>
        <v>-2824.1586640343271</v>
      </c>
      <c r="K8" s="14">
        <f t="shared" si="2"/>
        <v>-972.76794138989942</v>
      </c>
      <c r="L8" s="14">
        <f t="shared" si="2"/>
        <v>-179.00280000000001</v>
      </c>
      <c r="M8" s="14">
        <f t="shared" si="2"/>
        <v>0</v>
      </c>
      <c r="N8" s="23">
        <f t="shared" si="0"/>
        <v>-53574.41492065489</v>
      </c>
      <c r="O8" s="22" t="s">
        <v>62</v>
      </c>
      <c r="P8" s="67" t="s">
        <v>63</v>
      </c>
      <c r="Q8" s="66"/>
      <c r="R8" s="66"/>
      <c r="S8" s="24">
        <f t="shared" si="1"/>
        <v>35379.958487380776</v>
      </c>
      <c r="T8" s="37"/>
      <c r="U8" s="61"/>
      <c r="V8" s="14">
        <f>SUM(V9:V13)</f>
        <v>0</v>
      </c>
      <c r="W8" s="14"/>
      <c r="X8" s="14">
        <f>(E14+E8)*-1</f>
        <v>19757.571879069721</v>
      </c>
      <c r="Y8" s="14"/>
      <c r="Z8" s="14"/>
      <c r="AA8" s="14"/>
      <c r="AB8" s="14"/>
      <c r="AC8" s="14"/>
      <c r="AD8" s="14">
        <f>(K14+K8)*-1</f>
        <v>13222.287865543758</v>
      </c>
      <c r="AE8" s="14">
        <f>(L14+L8)*-1</f>
        <v>2400.0987427672962</v>
      </c>
      <c r="AF8" s="14"/>
      <c r="AG8" s="21">
        <f>-(N8+S8)</f>
        <v>18194.456433274114</v>
      </c>
      <c r="AH8" s="21">
        <f>SUM(AH9:AH13)</f>
        <v>1233.217188532991</v>
      </c>
    </row>
    <row r="9" spans="1:34" x14ac:dyDescent="0.35">
      <c r="C9" s="26">
        <f>-($AD$9+$H$9+$I$9)/$T$9*' KF OECD Europe'!$I109</f>
        <v>-4860.6455769756603</v>
      </c>
      <c r="D9" s="26">
        <f>-($AD$9+$H$9+$I$9)/$T$9*' KF OECD Europe'!$I110</f>
        <v>0</v>
      </c>
      <c r="E9" s="26">
        <f>-($AD$9+$H$9+$I$9)/$T$9*' KF OECD Europe'!$I111</f>
        <v>-263.73250718521319</v>
      </c>
      <c r="F9" s="26">
        <f>-($AD$9+$H$9+$I$9)/$T$9*' KF OECD Europe'!$I112</f>
        <v>-2714.8563777407107</v>
      </c>
      <c r="G9" s="26">
        <f>-($AD$9+$H$9+$I$9)/$T$9*' KF OECD Europe'!$I113</f>
        <v>-8915.6379309183521</v>
      </c>
      <c r="H9" s="26">
        <f>AD9*' KF OECD Europe'!I94*-1</f>
        <v>-2050.6049175102594</v>
      </c>
      <c r="I9" s="26">
        <f>AD9*' KF OECD Europe'!I95*-1</f>
        <v>-2508.543338730135</v>
      </c>
      <c r="J9" s="26">
        <f>-($AD$9+$H$9+$I$9)/$T$9*' KF OECD Europe'!$I114</f>
        <v>-958.48864824530415</v>
      </c>
      <c r="K9" s="25"/>
      <c r="L9" s="25"/>
      <c r="M9" s="25"/>
      <c r="N9" s="23">
        <f t="shared" si="0"/>
        <v>-22272.509297305634</v>
      </c>
      <c r="O9" s="6" t="s">
        <v>64</v>
      </c>
      <c r="P9" s="68" t="s">
        <v>65</v>
      </c>
      <c r="Q9" s="69" t="s">
        <v>63</v>
      </c>
      <c r="R9" s="69"/>
      <c r="S9" s="24">
        <f t="shared" si="1"/>
        <v>10731.409317702073</v>
      </c>
      <c r="T9" s="37">
        <f>' KF OECD Europe'!I104</f>
        <v>0.34845228114260202</v>
      </c>
      <c r="U9" s="61"/>
      <c r="V9" s="28"/>
      <c r="W9" s="28"/>
      <c r="X9" s="28"/>
      <c r="Y9" s="28"/>
      <c r="Z9" s="28"/>
      <c r="AA9" s="28"/>
      <c r="AB9" s="28"/>
      <c r="AC9" s="28"/>
      <c r="AD9" s="28">
        <f>AD8-AD10</f>
        <v>10731.409317702073</v>
      </c>
      <c r="AE9" s="28"/>
      <c r="AF9" s="28"/>
      <c r="AG9" s="29">
        <f>-(S9+N9)</f>
        <v>11541.099979603561</v>
      </c>
      <c r="AH9" s="29">
        <f>-(C9*Emissionsfaktorer!$B$2*(1-' KF OECD Europe'!I134)+D9*Emissionsfaktorer!$B$3+E9*Emissionsfaktorer!$B$4*(1-' KF OECD Europe'!I135)+F9*Emissionsfaktorer!$B$5*(1-' KF OECD Europe'!I136)+G9*Emissionsfaktorer!$B$6+H9*Emissionsfaktorer!$B$7+I9*Emissionsfaktorer!$B$8-J9*Emissionsfaktorer!B13*' KF OECD Europe'!I137+K9*Emissionsfaktorer!$B$10+L9*Emissionsfaktorer!$B$11+M9*Emissionsfaktorer!$B$12)</f>
        <v>636.55181388998449</v>
      </c>
    </row>
    <row r="10" spans="1:34" x14ac:dyDescent="0.35">
      <c r="C10" s="26">
        <f>-($AD$10+$AE$10+$H$10+$I$10)/$T$10*' KF OECD Europe'!$I116</f>
        <v>-2383.8835624069466</v>
      </c>
      <c r="D10" s="26">
        <f>-($AD$10+$AE$10+$H$10+$I$10)/$T$10*' KF OECD Europe'!$I117</f>
        <v>0</v>
      </c>
      <c r="E10" s="26">
        <f>-($AD$10+$AE$10+$H$10+$I$10)/$T$10*' KF OECD Europe'!$I118</f>
        <v>-288.0925049514845</v>
      </c>
      <c r="F10" s="26">
        <f>-($AD$10+$AE$10+$H$10+$I$10)/$T$10*' KF OECD Europe'!$I119</f>
        <v>-2283.0637881457105</v>
      </c>
      <c r="G10" s="26">
        <f>-($AD$10+$AE$10+$H$10+$I$10)/$T$10*' KF OECD Europe'!$I120</f>
        <v>-122.45401748812736</v>
      </c>
      <c r="H10" s="26"/>
      <c r="I10" s="26">
        <f>(AD10+AE10)*' KF OECD Europe'!I98*-1</f>
        <v>-119.5554489781168</v>
      </c>
      <c r="J10" s="26">
        <f>-($AD$10+$AE$10+$H$10+$I$10)/$T$10*' KF OECD Europe'!$I121</f>
        <v>-1551.7843588375383</v>
      </c>
      <c r="K10" s="25"/>
      <c r="L10" s="25"/>
      <c r="M10" s="25"/>
      <c r="N10" s="23">
        <f t="shared" si="0"/>
        <v>-6748.8336808079239</v>
      </c>
      <c r="O10" s="6" t="s">
        <v>66</v>
      </c>
      <c r="P10" s="68" t="s">
        <v>67</v>
      </c>
      <c r="Q10" s="69" t="s">
        <v>63</v>
      </c>
      <c r="R10" s="69"/>
      <c r="S10" s="24">
        <f t="shared" si="1"/>
        <v>4143.9447715724909</v>
      </c>
      <c r="T10" s="37">
        <f>' KF OECD Europe'!I105</f>
        <v>0.60706296852524255</v>
      </c>
      <c r="U10" s="61"/>
      <c r="V10" s="28"/>
      <c r="W10" s="28"/>
      <c r="X10" s="28"/>
      <c r="Y10" s="28"/>
      <c r="Z10" s="28"/>
      <c r="AA10" s="28"/>
      <c r="AB10" s="28"/>
      <c r="AC10" s="28"/>
      <c r="AD10" s="28">
        <f>AE10*' KF OECD Europe'!I90</f>
        <v>2490.8785478416848</v>
      </c>
      <c r="AE10" s="28">
        <f>AE8*' KF OECD Europe'!I85</f>
        <v>1653.0662237308061</v>
      </c>
      <c r="AF10" s="28"/>
      <c r="AG10" s="29">
        <f t="shared" ref="AG10:AG11" si="3">-(S10+N10)</f>
        <v>2604.8889092354329</v>
      </c>
      <c r="AH10" s="29">
        <f>-(C10*Emissionsfaktorer!$B$2*(1-' KF OECD Europe'!I135)+D10*Emissionsfaktorer!$B$3+E10*Emissionsfaktorer!$B$4*(1-' KF OECD Europe'!I136)+F10*Emissionsfaktorer!$B$5*(1-' KF OECD Europe'!I137)+G10*Emissionsfaktorer!$B$6+H10*Emissionsfaktorer!$B$7+I10*Emissionsfaktorer!$B$8-J10*Emissionsfaktorer!B14*' KF OECD Europe'!I142+K10*Emissionsfaktorer!$B$10+L10*Emissionsfaktorer!$B$11+M10*Emissionsfaktorer!$B$12)</f>
        <v>378.49860472927827</v>
      </c>
    </row>
    <row r="11" spans="1:34" x14ac:dyDescent="0.35">
      <c r="C11" s="26">
        <f>-($AE$11+$H$11+$I$11)/$T$11*' KF OECD Europe'!$I123</f>
        <v>-145.7685902860384</v>
      </c>
      <c r="D11" s="26">
        <f>-($AE$11+$H$11+$I$11)/$T$11*' KF OECD Europe'!$I124</f>
        <v>0</v>
      </c>
      <c r="E11" s="26">
        <f>-($AE$11+$H$11+$I$11)/$T$11*' KF OECD Europe'!$I125</f>
        <v>-27.431380246911548</v>
      </c>
      <c r="F11" s="26">
        <f>-($AE$11+$H$11+$I$11)/$T$11*' KF OECD Europe'!$I126</f>
        <v>-338.83845799630717</v>
      </c>
      <c r="G11" s="26">
        <f>-($AE$11+$H$11+$I$11)/$T$11*' KF OECD Europe'!$I127</f>
        <v>0</v>
      </c>
      <c r="H11" s="26"/>
      <c r="I11" s="26">
        <f>AE11*' KF OECD Europe'!I101*-1</f>
        <v>-67.339207558651168</v>
      </c>
      <c r="J11" s="26">
        <f>-($AE$11+$H$11+$I$11)/$T$11*' KF OECD Europe'!$I128</f>
        <v>-288.09250495148456</v>
      </c>
      <c r="K11" s="28">
        <f>AE11*' KF OECD Europe'!I88*-1</f>
        <v>-12.182389389899461</v>
      </c>
      <c r="L11" s="25"/>
      <c r="M11" s="25"/>
      <c r="N11" s="23">
        <f t="shared" si="0"/>
        <v>-879.65253042929226</v>
      </c>
      <c r="O11" s="6" t="s">
        <v>68</v>
      </c>
      <c r="P11" s="64" t="s">
        <v>69</v>
      </c>
      <c r="Q11" s="69" t="s">
        <v>63</v>
      </c>
      <c r="R11" s="69"/>
      <c r="S11" s="24">
        <f t="shared" si="1"/>
        <v>747.03251903649016</v>
      </c>
      <c r="T11" s="37">
        <f>' KF OECD Europe'!I106</f>
        <v>0.84947760802226069</v>
      </c>
      <c r="U11" s="61"/>
      <c r="V11" s="28"/>
      <c r="W11" s="28"/>
      <c r="X11" s="28"/>
      <c r="Y11" s="28"/>
      <c r="Z11" s="28"/>
      <c r="AA11" s="28"/>
      <c r="AB11" s="28"/>
      <c r="AC11" s="28"/>
      <c r="AD11" s="28"/>
      <c r="AE11" s="28">
        <f>AE8*' KF OECD Europe'!I86</f>
        <v>747.03251903649016</v>
      </c>
      <c r="AF11" s="28"/>
      <c r="AG11" s="29">
        <f t="shared" si="3"/>
        <v>132.6200113928021</v>
      </c>
      <c r="AH11" s="29">
        <f>-(C11*Emissionsfaktorer!$B$2+D11*Emissionsfaktorer!$B$3+E11*Emissionsfaktorer!$B$4+F11*Emissionsfaktorer!$B$5+G11*Emissionsfaktorer!$B$6+H11*Emissionsfaktorer!$B$7+I11*Emissionsfaktorer!$B$8+J11*Emissionsfaktorer!$B$9+K11*Emissionsfaktorer!$B$10+L11*Emissionsfaktorer!$B$11+M11*Emissionsfaktorer!$B$12)</f>
        <v>35.246593081728435</v>
      </c>
    </row>
    <row r="12" spans="1:34" x14ac:dyDescent="0.35">
      <c r="C12" s="26"/>
      <c r="D12" s="26">
        <f>-X12/T12*' KF OECD Europe'!I130</f>
        <v>-19943.712884112028</v>
      </c>
      <c r="E12" s="25"/>
      <c r="F12" s="26"/>
      <c r="G12" s="26"/>
      <c r="H12" s="26"/>
      <c r="I12" s="26"/>
      <c r="J12" s="27">
        <f>-X12/T12*' KF OECD Europe'!I131</f>
        <v>0</v>
      </c>
      <c r="K12" s="25"/>
      <c r="L12" s="25"/>
      <c r="M12" s="25"/>
      <c r="N12" s="23">
        <f t="shared" si="0"/>
        <v>-19943.712884112028</v>
      </c>
      <c r="O12" s="6" t="s">
        <v>70</v>
      </c>
      <c r="P12" s="64" t="s">
        <v>71</v>
      </c>
      <c r="Q12" s="69" t="s">
        <v>63</v>
      </c>
      <c r="R12" s="69"/>
      <c r="S12" s="24">
        <f t="shared" si="1"/>
        <v>19757.571879069721</v>
      </c>
      <c r="T12" s="37">
        <f>' KF OECD Europe'!I107</f>
        <v>0.99066668247161771</v>
      </c>
      <c r="U12" s="61"/>
      <c r="V12" s="28"/>
      <c r="W12" s="28"/>
      <c r="X12" s="28">
        <f>-(E9+E10+E11+E13+E14)</f>
        <v>19757.571879069721</v>
      </c>
      <c r="Y12" s="28"/>
      <c r="Z12" s="28"/>
      <c r="AA12" s="28"/>
      <c r="AB12" s="28"/>
      <c r="AC12" s="28"/>
      <c r="AD12" s="28"/>
      <c r="AE12" s="28"/>
      <c r="AF12" s="28"/>
      <c r="AG12" s="29">
        <f>-(S12+N12)</f>
        <v>186.14100504230737</v>
      </c>
      <c r="AH12" s="29">
        <f>J12*Emissionsfaktorer!B4</f>
        <v>0</v>
      </c>
    </row>
    <row r="13" spans="1:34" x14ac:dyDescent="0.35">
      <c r="C13" s="28">
        <f>N13*' KF OECD Europe'!I79</f>
        <v>-319.44148799999994</v>
      </c>
      <c r="D13" s="28">
        <f>N13*' KF OECD Europe'!I81</f>
        <v>0</v>
      </c>
      <c r="E13" s="28">
        <f>N13*' KF OECD Europe'!I82</f>
        <v>-1295.5196800000001</v>
      </c>
      <c r="F13" s="28">
        <f>N13*' KF OECD Europe'!I80</f>
        <v>-949.36385599999994</v>
      </c>
      <c r="G13" s="28"/>
      <c r="H13" s="28"/>
      <c r="I13" s="28"/>
      <c r="J13" s="36">
        <f>N13*' KF OECD Europe'!I83</f>
        <v>-25.793151999999996</v>
      </c>
      <c r="K13" s="28">
        <f>N13*' KF OECD Europe'!I77</f>
        <v>-960.58555200000001</v>
      </c>
      <c r="L13" s="28">
        <f>N13*' KF OECD Europe'!I78</f>
        <v>-179.00280000000001</v>
      </c>
      <c r="M13" s="25"/>
      <c r="N13" s="23">
        <f>N16*' KF OECD Europe'!I75</f>
        <v>-3729.7065279999997</v>
      </c>
      <c r="O13" s="6" t="s">
        <v>72</v>
      </c>
      <c r="P13" s="64" t="s">
        <v>73</v>
      </c>
      <c r="Q13" s="69" t="s">
        <v>63</v>
      </c>
      <c r="R13" s="69"/>
      <c r="S13" s="24">
        <f t="shared" si="1"/>
        <v>0</v>
      </c>
      <c r="T13" s="37">
        <v>0</v>
      </c>
      <c r="U13" s="61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9">
        <f>-(S13+N13)</f>
        <v>3729.7065279999997</v>
      </c>
      <c r="AH13" s="29">
        <f>-(C13*Emissionsfaktorer!$B$2+D13*Emissionsfaktorer!$B$3+E13*Emissionsfaktorer!$B$4+F13*Emissionsfaktorer!$B$5+G13*Emissionsfaktorer!$B$6+H13*Emissionsfaktorer!$B$7+I13*Emissionsfaktorer!$B$8+J13*Emissionsfaktorer!$B$9+K13*Emissionsfaktorer!$B$10+L13*Emissionsfaktorer!$B$11+M13*Emissionsfaktorer!$B$12)</f>
        <v>182.92017683199998</v>
      </c>
    </row>
    <row r="14" spans="1:34" x14ac:dyDescent="0.35">
      <c r="C14" s="15"/>
      <c r="D14" s="15"/>
      <c r="E14" s="16">
        <f>-X14*1</f>
        <v>-17882.79580668611</v>
      </c>
      <c r="F14" s="15"/>
      <c r="G14" s="15"/>
      <c r="H14" s="15"/>
      <c r="I14" s="15"/>
      <c r="J14" s="20"/>
      <c r="K14" s="16">
        <f>-AD14*(1+' KF OECD Europe'!I72)</f>
        <v>-12249.519924153859</v>
      </c>
      <c r="L14" s="16">
        <f>-AE14*(1+' KF OECD Europe'!I73)</f>
        <v>-2221.095942767296</v>
      </c>
      <c r="M14" s="16"/>
      <c r="N14" s="23">
        <f t="shared" si="0"/>
        <v>-32353.411673607265</v>
      </c>
      <c r="O14" s="22" t="s">
        <v>74</v>
      </c>
      <c r="P14" s="66" t="s">
        <v>75</v>
      </c>
      <c r="Q14" s="70"/>
      <c r="R14" s="70"/>
      <c r="S14" s="24">
        <f t="shared" si="1"/>
        <v>31278.513542144385</v>
      </c>
      <c r="T14" s="37"/>
      <c r="U14" s="61"/>
      <c r="V14" s="16"/>
      <c r="W14" s="16"/>
      <c r="X14" s="16">
        <f>-E16</f>
        <v>17882.79580668611</v>
      </c>
      <c r="Y14" s="16"/>
      <c r="Z14" s="16"/>
      <c r="AA14" s="16"/>
      <c r="AB14" s="16"/>
      <c r="AC14" s="16"/>
      <c r="AD14" s="16">
        <f>-K16</f>
        <v>11376.444442217577</v>
      </c>
      <c r="AE14" s="16">
        <f>-L16</f>
        <v>2019.2732932406984</v>
      </c>
      <c r="AF14" s="16"/>
      <c r="AG14" s="21">
        <f>-(N14+S14)</f>
        <v>1074.89813146288</v>
      </c>
      <c r="AH14" s="21"/>
    </row>
    <row r="15" spans="1:34" x14ac:dyDescent="0.35"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23">
        <f t="shared" si="0"/>
        <v>0</v>
      </c>
      <c r="O15" s="22" t="s">
        <v>76</v>
      </c>
      <c r="P15" s="67" t="s">
        <v>77</v>
      </c>
      <c r="Q15" s="66"/>
      <c r="R15" s="66"/>
      <c r="S15" s="24">
        <f t="shared" si="1"/>
        <v>242.47611175874752</v>
      </c>
      <c r="T15" s="37"/>
      <c r="U15" s="61"/>
      <c r="V15" s="14"/>
      <c r="W15" s="14"/>
      <c r="X15" s="14"/>
      <c r="Y15" s="14"/>
      <c r="Z15" s="14"/>
      <c r="AA15" s="14"/>
      <c r="AB15" s="14">
        <f>I16*-1</f>
        <v>242.47611175874752</v>
      </c>
      <c r="AC15" s="14"/>
      <c r="AD15" s="14"/>
      <c r="AE15" s="14"/>
      <c r="AF15" s="14"/>
      <c r="AG15" s="14"/>
      <c r="AH15" s="14"/>
    </row>
    <row r="16" spans="1:34" x14ac:dyDescent="0.35">
      <c r="C16" s="14">
        <f t="shared" ref="C16:M16" si="4">SUM(C17:C19)</f>
        <v>-1779.7629356084838</v>
      </c>
      <c r="D16" s="14">
        <f t="shared" si="4"/>
        <v>0</v>
      </c>
      <c r="E16" s="14">
        <f t="shared" si="4"/>
        <v>-17882.79580668611</v>
      </c>
      <c r="F16" s="14">
        <f t="shared" si="4"/>
        <v>-10888.236798610294</v>
      </c>
      <c r="G16" s="14">
        <f t="shared" si="4"/>
        <v>0</v>
      </c>
      <c r="H16" s="14">
        <f t="shared" si="4"/>
        <v>0</v>
      </c>
      <c r="I16" s="14">
        <f t="shared" si="4"/>
        <v>-242.47611175874752</v>
      </c>
      <c r="J16" s="14">
        <f t="shared" si="4"/>
        <v>-3884.9096761891165</v>
      </c>
      <c r="K16" s="14">
        <f t="shared" si="4"/>
        <v>-11376.444442217577</v>
      </c>
      <c r="L16" s="14">
        <f t="shared" si="4"/>
        <v>-2019.2732932406984</v>
      </c>
      <c r="M16" s="14">
        <f t="shared" si="4"/>
        <v>0</v>
      </c>
      <c r="N16" s="23">
        <f>' KF OECD Europe'!I5</f>
        <v>-48074.08064</v>
      </c>
      <c r="O16" s="10" t="s">
        <v>78</v>
      </c>
      <c r="P16" s="71" t="s">
        <v>79</v>
      </c>
      <c r="Q16" s="71"/>
      <c r="R16" s="71"/>
      <c r="S16" s="24">
        <f t="shared" si="1"/>
        <v>32742.492667456485</v>
      </c>
      <c r="T16" s="37"/>
      <c r="U16" s="61"/>
      <c r="V16" s="14"/>
      <c r="W16" s="14"/>
      <c r="X16" s="14"/>
      <c r="Y16" s="14"/>
      <c r="Z16" s="14"/>
      <c r="AA16" s="14"/>
      <c r="AB16" s="14"/>
      <c r="AC16" s="14"/>
      <c r="AD16" s="14"/>
      <c r="AE16" s="14"/>
      <c r="AF16" s="14">
        <f>SUM(AF17:AF19)</f>
        <v>32742.492667456485</v>
      </c>
      <c r="AG16" s="14">
        <f t="shared" ref="AG16:AH16" si="5">SUM(AG17:AG19)</f>
        <v>15331.406396854534</v>
      </c>
      <c r="AH16" s="14">
        <f t="shared" si="5"/>
        <v>2148.799457711737</v>
      </c>
    </row>
    <row r="17" spans="3:34" x14ac:dyDescent="0.35">
      <c r="C17" s="25">
        <f>AF17*' KF OECD Europe'!I15/T17*' KF OECD Europe'!I139/' KF OECD Europe'!I$139*-1</f>
        <v>-1162.282976</v>
      </c>
      <c r="D17" s="25">
        <f>AF17*' KF OECD Europe'!I16/T17*' KF OECD Europe'!I139/' KF OECD Europe'!I$139*-1</f>
        <v>0</v>
      </c>
      <c r="E17" s="25">
        <f>AF17*' KF OECD Europe'!I17/T17*' KF OECD Europe'!I139/' KF OECD Europe'!I$139*-1</f>
        <v>-1298.5344639999998</v>
      </c>
      <c r="F17" s="25">
        <f>AF17*' KF OECD Europe'!I18/T17*' KF OECD Europe'!I139/' KF OECD Europe'!I$139*-1</f>
        <v>-3820.6525120000001</v>
      </c>
      <c r="G17" s="25"/>
      <c r="H17" s="25"/>
      <c r="I17" s="25">
        <f>AF17*' KF OECD Europe'!I19/T17*' KF OECD Europe'!I142/' KF OECD Europe'!I$142*-1</f>
        <v>-14.278352</v>
      </c>
      <c r="J17" s="25">
        <f>AF17*' KF OECD Europe'!I20*' KF OECD Europe'!I139/T17/' KF OECD Europe'!I$139*-1</f>
        <v>-1187.2805599999999</v>
      </c>
      <c r="K17" s="25">
        <f>AF17*' KF OECD Europe'!I21*' KF OECD Europe'!I141/T17/' KF OECD Europe'!I$141*-1</f>
        <v>-4345.2249279999996</v>
      </c>
      <c r="L17" s="25">
        <f>AF17*' KF OECD Europe'!I22*' KF OECD Europe'!I142/T17/' KF OECD Europe'!I$142*-1</f>
        <v>-691.43233599999996</v>
      </c>
      <c r="M17" s="25"/>
      <c r="N17" s="23">
        <f>SUM(C17:L17)</f>
        <v>-12519.686127999999</v>
      </c>
      <c r="O17" s="6" t="s">
        <v>80</v>
      </c>
      <c r="P17" s="64" t="s">
        <v>81</v>
      </c>
      <c r="Q17" s="69" t="s">
        <v>79</v>
      </c>
      <c r="R17" s="69"/>
      <c r="S17" s="24">
        <f t="shared" si="1"/>
        <v>10808.674779200001</v>
      </c>
      <c r="T17" s="37">
        <f>(' KF OECD Europe'!I15+' KF OECD Europe'!I16+' KF OECD Europe'!I17+' KF OECD Europe'!I18+' KF OECD Europe'!I20)*' KF OECD Europe'!I139+(' KF OECD Europe'!I19+' KF OECD Europe'!I22)*' KF OECD Europe'!I142+' KF OECD Europe'!I21*' KF OECD Europe'!I141</f>
        <v>0.86333432553286138</v>
      </c>
      <c r="U17" s="61"/>
      <c r="V17" s="25"/>
      <c r="W17" s="25"/>
      <c r="X17" s="25"/>
      <c r="Y17" s="25"/>
      <c r="Z17" s="25"/>
      <c r="AA17" s="25"/>
      <c r="AB17" s="25"/>
      <c r="AC17" s="25"/>
      <c r="AD17" s="25"/>
      <c r="AE17" s="25"/>
      <c r="AF17" s="25">
        <f>' KF OECD Europe'!I5*' KF OECD Europe'!I7*((' KF OECD Europe'!G15+' KF OECD Europe'!G16+' KF OECD Europe'!G17+' KF OECD Europe'!G18+' KF OECD Europe'!G20)*' KF OECD Europe'!G139+(' KF OECD Europe'!G19+' KF OECD Europe'!G22)*' KF OECD Europe'!G142+' KF OECD Europe'!G21*' KF OECD Europe'!G141)*-1</f>
        <v>10808.674779200001</v>
      </c>
      <c r="AG17" s="25">
        <f>(S17+SUM(C17:M17))*-1</f>
        <v>1711.0113487999988</v>
      </c>
      <c r="AH17" s="29">
        <f>-(C17*Emissionsfaktorer!$B$2+D17*Emissionsfaktorer!$B$3+E17*Emissionsfaktorer!$B$4+F17*Emissionsfaktorer!$B$5+G17*Emissionsfaktorer!$B$6+H17*Emissionsfaktorer!$B$7+I17*Emissionsfaktorer!$B$8+J17*Emissionsfaktorer!$B$9+K17*Emissionsfaktorer!$B$10+L17*Emissionsfaktorer!$B$11+M17*Emissionsfaktorer!$B$12)</f>
        <v>426.88269516800005</v>
      </c>
    </row>
    <row r="18" spans="3:34" x14ac:dyDescent="0.35">
      <c r="C18" s="25">
        <f>AF18*' KF OECD Europe'!I24/T18*' KF OECD Europe'!I140/' KF OECD Europe'!I$140*-1</f>
        <v>-0.50246399999999991</v>
      </c>
      <c r="D18" s="25"/>
      <c r="E18" s="25">
        <f>AF18*' KF OECD Europe'!I25/T18*' KF OECD Europe'!I140/' KF OECD Europe'!I$140*-1</f>
        <v>-13712.619407999999</v>
      </c>
      <c r="F18" s="25">
        <f>AF18*' KF OECD Europe'!I26/T18*' KF OECD Europe'!I140/' KF OECD Europe'!I$140*-1</f>
        <v>-165.22691199999997</v>
      </c>
      <c r="G18" s="25"/>
      <c r="H18" s="25"/>
      <c r="I18" s="25">
        <f>AF18*' KF OECD Europe'!I27/T18*' KF OECD Europe'!I142/' KF OECD Europe'!I$142*-1</f>
        <v>0</v>
      </c>
      <c r="J18" s="25">
        <f>AF18*' KF OECD Europe'!I28/T18*' KF OECD Europe'!I140/' KF OECD Europe'!I$140*-1</f>
        <v>-713.03828799999985</v>
      </c>
      <c r="K18" s="25">
        <f>AF18*' KF OECD Europe'!I29/T18*' KF OECD Europe'!I141/' KF OECD Europe'!I$141*-1</f>
        <v>-243.90439999999998</v>
      </c>
      <c r="L18" s="25">
        <f>AF18*' KF OECD Europe'!I30/T18*' KF OECD Europe'!I142/' KF OECD Europe'!I$142*-1</f>
        <v>0</v>
      </c>
      <c r="M18" s="25"/>
      <c r="N18" s="23">
        <f>SUM(C18:L18)</f>
        <v>-14835.291471999997</v>
      </c>
      <c r="O18" s="6" t="s">
        <v>82</v>
      </c>
      <c r="P18" s="64" t="s">
        <v>83</v>
      </c>
      <c r="Q18" s="69" t="s">
        <v>79</v>
      </c>
      <c r="R18" s="69"/>
      <c r="S18" s="24">
        <f t="shared" si="1"/>
        <v>4609.1253015999991</v>
      </c>
      <c r="T18" s="37">
        <f>(' KF OECD Europe'!I24+' KF OECD Europe'!I25+' KF OECD Europe'!I26+' KF OECD Europe'!I28)*' KF OECD Europe'!I140+(' KF OECD Europe'!I27+' KF OECD Europe'!I30)*' KF OECD Europe'!I142+' KF OECD Europe'!I29*' KF OECD Europe'!I141</f>
        <v>0.31068653489547021</v>
      </c>
      <c r="U18" s="61"/>
      <c r="V18" s="25"/>
      <c r="W18" s="25"/>
      <c r="X18" s="25"/>
      <c r="Y18" s="25"/>
      <c r="Z18" s="25"/>
      <c r="AA18" s="25"/>
      <c r="AB18" s="25"/>
      <c r="AC18" s="25"/>
      <c r="AD18" s="25"/>
      <c r="AE18" s="25"/>
      <c r="AF18" s="25">
        <f>' KF OECD Europe'!I5*' KF OECD Europe'!I8*-1*((' KF OECD Europe'!G24+' KF OECD Europe'!G25+' KF OECD Europe'!G26+' KF OECD Europe'!G28)*' KF OECD Europe'!G140+(' KF OECD Europe'!G27+' KF OECD Europe'!G30)*' KF OECD Europe'!G142+' KF OECD Europe'!G29*' KF OECD Europe'!G141)</f>
        <v>4609.1253015999991</v>
      </c>
      <c r="AG18" s="25">
        <f>(S18+SUM(C18:M18))*-1</f>
        <v>10226.166170399998</v>
      </c>
      <c r="AH18" s="29">
        <f>-(C18*Emissionsfaktorer!$B$2+D18*Emissionsfaktorer!$B$3+E18*Emissionsfaktorer!$B$4+F18*Emissionsfaktorer!$B$5+G18*Emissionsfaktorer!$B$6+H18*Emissionsfaktorer!$B$7+I18*Emissionsfaktorer!$B$8+J18*Emissionsfaktorer!$B$9+K18*Emissionsfaktorer!$B$10+L18*Emissionsfaktorer!$B$11+M18*Emissionsfaktorer!$B$12)</f>
        <v>1051.624743072</v>
      </c>
    </row>
    <row r="19" spans="3:34" x14ac:dyDescent="0.35">
      <c r="C19" s="25">
        <f>SUM(C20:C24)</f>
        <v>-616.97749560848388</v>
      </c>
      <c r="D19" s="25">
        <f t="shared" ref="D19:M19" si="6">SUM(D20:D24)</f>
        <v>0</v>
      </c>
      <c r="E19" s="25">
        <f t="shared" si="6"/>
        <v>-2871.6419346861094</v>
      </c>
      <c r="F19" s="25">
        <f t="shared" si="6"/>
        <v>-6902.3573746102938</v>
      </c>
      <c r="G19" s="25">
        <f t="shared" si="6"/>
        <v>0</v>
      </c>
      <c r="H19" s="25">
        <f t="shared" si="6"/>
        <v>0</v>
      </c>
      <c r="I19" s="25">
        <f t="shared" si="6"/>
        <v>-228.19775975874751</v>
      </c>
      <c r="J19" s="25">
        <f t="shared" si="6"/>
        <v>-1984.5908281891166</v>
      </c>
      <c r="K19" s="25">
        <f t="shared" si="6"/>
        <v>-6787.3151142175775</v>
      </c>
      <c r="L19" s="25">
        <f t="shared" si="6"/>
        <v>-1327.8409572406986</v>
      </c>
      <c r="M19" s="25">
        <f t="shared" si="6"/>
        <v>0</v>
      </c>
      <c r="N19" s="23">
        <f>SUM(N20:N24)</f>
        <v>-20718.921464311024</v>
      </c>
      <c r="O19" s="6" t="s">
        <v>84</v>
      </c>
      <c r="P19" s="64" t="s">
        <v>85</v>
      </c>
      <c r="Q19" s="69" t="s">
        <v>79</v>
      </c>
      <c r="R19" s="69"/>
      <c r="S19" s="24">
        <f t="shared" si="1"/>
        <v>17324.692586656485</v>
      </c>
      <c r="T19" s="37">
        <v>0.8</v>
      </c>
      <c r="U19" s="61"/>
      <c r="V19" s="25">
        <f>SUM(V20:V24)</f>
        <v>0</v>
      </c>
      <c r="W19" s="25">
        <f t="shared" ref="W19:AH19" si="7">SUM(W20:W24)</f>
        <v>0</v>
      </c>
      <c r="X19" s="25">
        <f t="shared" si="7"/>
        <v>0</v>
      </c>
      <c r="Y19" s="25">
        <f t="shared" si="7"/>
        <v>0</v>
      </c>
      <c r="Z19" s="25">
        <f t="shared" si="7"/>
        <v>0</v>
      </c>
      <c r="AA19" s="25">
        <f t="shared" si="7"/>
        <v>0</v>
      </c>
      <c r="AB19" s="25">
        <f t="shared" si="7"/>
        <v>0</v>
      </c>
      <c r="AC19" s="25">
        <f t="shared" si="7"/>
        <v>0</v>
      </c>
      <c r="AD19" s="25">
        <f t="shared" si="7"/>
        <v>0</v>
      </c>
      <c r="AE19" s="25">
        <f t="shared" si="7"/>
        <v>0</v>
      </c>
      <c r="AF19" s="25">
        <f t="shared" si="7"/>
        <v>17324.692586656485</v>
      </c>
      <c r="AG19" s="25">
        <f t="shared" si="7"/>
        <v>3394.228877654537</v>
      </c>
      <c r="AH19" s="25">
        <f t="shared" si="7"/>
        <v>670.29201947173692</v>
      </c>
    </row>
    <row r="20" spans="3:34" x14ac:dyDescent="0.35">
      <c r="C20" s="92">
        <f>AF20*' KF OECD Europe'!I$32/T20*' KF OECD Europe'!I$139/' KF OECD Europe'!I$139*-1</f>
        <v>-447.86307849978016</v>
      </c>
      <c r="D20" s="92"/>
      <c r="E20" s="92">
        <f>AF20*' KF OECD Europe'!I33/T20*' KF OECD Europe'!I$140/' KF OECD Europe'!I$140*-1</f>
        <v>-1335.0892163393314</v>
      </c>
      <c r="F20" s="92">
        <f>AF20*' KF OECD Europe'!I$34/T20*' KF OECD Europe'!I$140/' KF OECD Europe'!I$140*-1</f>
        <v>-4653.8232981282308</v>
      </c>
      <c r="G20" s="92"/>
      <c r="H20" s="92"/>
      <c r="I20" s="92">
        <f>AF20*' KF OECD Europe'!I$35/T20*' KF OECD Europe'!I$142/' KF OECD Europe'!I$142*-1</f>
        <v>-169.07919885771432</v>
      </c>
      <c r="J20" s="92">
        <f>AF20*' KF OECD Europe'!I$36/T20*' KF OECD Europe'!I$140/' KF OECD Europe'!I$140*-1</f>
        <v>-1685.1392664756588</v>
      </c>
      <c r="K20" s="92">
        <f>AF20*' KF OECD Europe'!I$37/T20*' KF OECD Europe'!I$141/' KF OECD Europe'!I$141*-1</f>
        <v>-3215.1427152772635</v>
      </c>
      <c r="L20" s="92">
        <f>AF20*' KF OECD Europe'!I$38/T20*' KF OECD Europe'!I$142/' KF OECD Europe'!I$142*-1</f>
        <v>-879.94040713097218</v>
      </c>
      <c r="M20" s="92"/>
      <c r="N20" s="23">
        <f>SUM(C20:L20)</f>
        <v>-12386.077180708951</v>
      </c>
      <c r="O20" s="84" t="s">
        <v>86</v>
      </c>
      <c r="P20" s="85" t="s">
        <v>87</v>
      </c>
      <c r="Q20" s="86" t="s">
        <v>85</v>
      </c>
      <c r="R20" s="86"/>
      <c r="S20" s="24">
        <f t="shared" si="1"/>
        <v>10600.93707305649</v>
      </c>
      <c r="T20" s="37">
        <f>(' KF OECD Europe'!I32+' KF OECD Europe'!I33+' KF OECD Europe'!I34+' KF OECD Europe'!I36)*' KF OECD Europe'!I139+(' KF OECD Europe'!I35+' KF OECD Europe'!I38)*' KF OECD Europe'!I142+' KF OECD Europe'!I37*' KF OECD Europe'!I141</f>
        <v>0.85587526368455225</v>
      </c>
      <c r="U20" s="61"/>
      <c r="V20" s="92"/>
      <c r="W20" s="92"/>
      <c r="X20" s="92"/>
      <c r="Y20" s="92"/>
      <c r="Z20" s="92"/>
      <c r="AA20" s="92"/>
      <c r="AB20" s="92"/>
      <c r="AC20" s="92"/>
      <c r="AD20" s="92"/>
      <c r="AE20" s="92"/>
      <c r="AF20" s="92">
        <f>' KF OECD Europe'!I5*' KF OECD Europe'!I9*((' KF OECD Europe'!G32+' KF OECD Europe'!G33+' KF OECD Europe'!G34+' KF OECD Europe'!G36)*' KF OECD Europe'!G139+(' KF OECD Europe'!G35+' KF OECD Europe'!G38)*' KF OECD Europe'!G142+' KF OECD Europe'!G37*' KF OECD Europe'!G141)*-1</f>
        <v>10600.93707305649</v>
      </c>
      <c r="AG20" s="92">
        <f>(N20+AF20)*-1</f>
        <v>1785.1401076524617</v>
      </c>
      <c r="AH20" s="87">
        <f>-(C20*Emissionsfaktorer!$B$2+D20*Emissionsfaktorer!$B$3+E20*Emissionsfaktorer!$B$4+F20*Emissionsfaktorer!$B$5+G20*Emissionsfaktorer!$B$6+H20*Emissionsfaktorer!$B$7+I20*Emissionsfaktorer!$B$8+J20*Emissionsfaktorer!$B$9+K20*Emissionsfaktorer!$B$10+L20*Emissionsfaktorer!$B$11+M20*Emissionsfaktorer!$B$12)</f>
        <v>409.28170089257748</v>
      </c>
    </row>
    <row r="21" spans="3:34" x14ac:dyDescent="0.35">
      <c r="C21" s="92">
        <f>AF21*' KF OECD Europe'!I$40/T21*' KF OECD Europe'!I$139/' KF OECD Europe'!I$139*-1</f>
        <v>-119.66938104337669</v>
      </c>
      <c r="D21" s="92"/>
      <c r="E21" s="92">
        <f>AF21*' KF OECD Europe'!I41/T21*' KF OECD Europe'!I$140/' KF OECD Europe'!I$140*-1</f>
        <v>-614.92810706893988</v>
      </c>
      <c r="F21" s="92">
        <f>AF21*' KF OECD Europe'!I$42/T21*' KF OECD Europe'!I$140/' KF OECD Europe'!I$140*-1</f>
        <v>-2054.1010587281071</v>
      </c>
      <c r="G21" s="92"/>
      <c r="H21" s="92"/>
      <c r="I21" s="92">
        <f>AF21*' KF OECD Europe'!I$43/T21*' KF OECD Europe'!I$142/' KF OECD Europe'!I$142*-1</f>
        <v>-22.694473241955972</v>
      </c>
      <c r="J21" s="92">
        <f>AF21*' KF OECD Europe'!I$44/T21*' KF OECD Europe'!I$140/' KF OECD Europe'!I$140*-1</f>
        <v>-181.22081216085877</v>
      </c>
      <c r="K21" s="92">
        <f>AF21*' KF OECD Europe'!I$45/T21*' KF OECD Europe'!I$141/' KF OECD Europe'!I$141*-1</f>
        <v>-3322.3536418011786</v>
      </c>
      <c r="L21" s="92">
        <f>AF21*' KF OECD Europe'!I$46/T21*' KF OECD Europe'!I$142/' KF OECD Europe'!I$142*-1</f>
        <v>-433.20483424589759</v>
      </c>
      <c r="M21" s="92"/>
      <c r="N21" s="23">
        <f t="shared" ref="N21:N24" si="8">SUM(C21:L21)</f>
        <v>-6748.1723082903145</v>
      </c>
      <c r="O21" s="84" t="s">
        <v>88</v>
      </c>
      <c r="P21" s="85" t="s">
        <v>89</v>
      </c>
      <c r="Q21" s="86" t="s">
        <v>85</v>
      </c>
      <c r="R21" s="86"/>
      <c r="S21" s="24">
        <f t="shared" si="1"/>
        <v>5988.0707543999997</v>
      </c>
      <c r="T21" s="37">
        <f>(' KF OECD Europe'!I40+' KF OECD Europe'!I41+' KF OECD Europe'!I42+' KF OECD Europe'!I44)*' KF OECD Europe'!I139+(' KF OECD Europe'!I43+' KF OECD Europe'!I46)*' KF OECD Europe'!I142+' KF OECD Europe'!I45*' KF OECD Europe'!I141</f>
        <v>0.88736186345501156</v>
      </c>
      <c r="U21" s="61"/>
      <c r="V21" s="92"/>
      <c r="W21" s="92"/>
      <c r="X21" s="92"/>
      <c r="Y21" s="92"/>
      <c r="Z21" s="92"/>
      <c r="AA21" s="92"/>
      <c r="AB21" s="92"/>
      <c r="AC21" s="92"/>
      <c r="AD21" s="92"/>
      <c r="AE21" s="92"/>
      <c r="AF21" s="92">
        <f>' KF OECD Europe'!I5*' KF OECD Europe'!I10*((' KF OECD Europe'!G40+' KF OECD Europe'!G41+' KF OECD Europe'!G42+' KF OECD Europe'!G44)*' KF OECD Europe'!G139+(' KF OECD Europe'!G43+' KF OECD Europe'!G46)*' KF OECD Europe'!G142+' KF OECD Europe'!G45*' KF OECD Europe'!G141)*-1</f>
        <v>5988.0707543999997</v>
      </c>
      <c r="AG21" s="92">
        <f t="shared" ref="AG21:AG24" si="9">(N21+AF21)*-1</f>
        <v>760.10155389031479</v>
      </c>
      <c r="AH21" s="87">
        <f>-(C21*Emissionsfaktorer!$B$2+D21*Emissionsfaktorer!$B$3+E21*Emissionsfaktorer!$B$4+F21*Emissionsfaktorer!$B$5+G21*Emissionsfaktorer!$B$6+H21*Emissionsfaktorer!$B$7+I21*Emissionsfaktorer!$B$8+J21*Emissionsfaktorer!$B$9+K21*Emissionsfaktorer!$B$10+L21*Emissionsfaktorer!$B$11+M21*Emissionsfaktorer!$B$12)</f>
        <v>175.18688768386232</v>
      </c>
    </row>
    <row r="22" spans="3:34" x14ac:dyDescent="0.35">
      <c r="C22" s="92">
        <f>AF22*' KF OECD Europe'!I$48/T22*' KF OECD Europe'!I$139/' KF OECD Europe'!I$139*-1</f>
        <v>-43.122364065327012</v>
      </c>
      <c r="D22" s="92"/>
      <c r="E22" s="92">
        <f>AF22*' KF OECD Europe'!I49/T22*' KF OECD Europe'!I$140/' KF OECD Europe'!I$140*-1</f>
        <v>-771.72285127783778</v>
      </c>
      <c r="F22" s="92">
        <f>AF22*' KF OECD Europe'!I$50/T22*' KF OECD Europe'!I$140/' KF OECD Europe'!I$140*-1</f>
        <v>-152.89599375395559</v>
      </c>
      <c r="G22" s="92"/>
      <c r="H22" s="92"/>
      <c r="I22" s="92">
        <f>AF22*' KF OECD Europe'!I$51/T22*' KF OECD Europe'!I$142/' KF OECD Europe'!I$142*-1</f>
        <v>-33.869895659077244</v>
      </c>
      <c r="J22" s="92">
        <f>AF22*' KF OECD Europe'!I$52/T22*' KF OECD Europe'!I$140/' KF OECD Europe'!I$140*-1</f>
        <v>-117.39330955259898</v>
      </c>
      <c r="K22" s="92">
        <f>AF22*' KF OECD Europe'!I$53/T22*' KF OECD Europe'!I$141/' KF OECD Europe'!I$141*-1</f>
        <v>-234.11675713913479</v>
      </c>
      <c r="L22" s="92">
        <f>AF22*' KF OECD Europe'!I$54/T22*' KF OECD Europe'!I$142/' KF OECD Europe'!I$142*-1</f>
        <v>-10.089795863828943</v>
      </c>
      <c r="M22" s="92"/>
      <c r="N22" s="23">
        <f t="shared" si="8"/>
        <v>-1363.2109673117602</v>
      </c>
      <c r="O22" s="84" t="s">
        <v>90</v>
      </c>
      <c r="P22" s="85" t="s">
        <v>91</v>
      </c>
      <c r="Q22" s="86" t="s">
        <v>85</v>
      </c>
      <c r="R22" s="86"/>
      <c r="S22" s="24">
        <f t="shared" si="1"/>
        <v>591.91096640000001</v>
      </c>
      <c r="T22" s="37">
        <f>(' KF OECD Europe'!I48+' KF OECD Europe'!I49+' KF OECD Europe'!I50+' KF OECD Europe'!I52)*' KF OECD Europe'!I140+(' KF OECD Europe'!I51+' KF OECD Europe'!I54)*' KF OECD Europe'!I142+' KF OECD Europe'!I53*' KF OECD Europe'!I141</f>
        <v>0.43420349497865551</v>
      </c>
      <c r="U22" s="61"/>
      <c r="V22" s="92"/>
      <c r="W22" s="92"/>
      <c r="X22" s="92"/>
      <c r="Y22" s="92"/>
      <c r="Z22" s="92"/>
      <c r="AA22" s="92"/>
      <c r="AB22" s="92"/>
      <c r="AC22" s="92"/>
      <c r="AD22" s="92"/>
      <c r="AE22" s="92"/>
      <c r="AF22" s="92">
        <f>((' KF OECD Europe'!G48+' KF OECD Europe'!G49+' KF OECD Europe'!G50+' KF OECD Europe'!G52)*' KF OECD Europe'!G140+(' KF OECD Europe'!G51+' KF OECD Europe'!G54)*' KF OECD Europe'!G142+' KF OECD Europe'!G53*' KF OECD Europe'!G141)*' KF OECD Europe'!I11*' KF OECD Europe'!I5*-1</f>
        <v>591.91096640000001</v>
      </c>
      <c r="AG22" s="92">
        <f t="shared" si="9"/>
        <v>771.30000091176021</v>
      </c>
      <c r="AH22" s="87">
        <f>-(C22*Emissionsfaktorer!$B$2+D22*Emissionsfaktorer!$B$3+E22*Emissionsfaktorer!$B$4+F22*Emissionsfaktorer!$B$5+G22*Emissionsfaktorer!$B$6+H22*Emissionsfaktorer!$B$7+I22*Emissionsfaktorer!$B$8+J22*Emissionsfaktorer!$B$9+K22*Emissionsfaktorer!$B$10+L22*Emissionsfaktorer!$B$11+M22*Emissionsfaktorer!$B$12)</f>
        <v>71.462632927297207</v>
      </c>
    </row>
    <row r="23" spans="3:34" x14ac:dyDescent="0.35">
      <c r="C23" s="92">
        <f>AF23*' KF OECD Europe'!I$56/T23*' KF OECD Europe'!I$139/' KF OECD Europe'!I$139*-1</f>
        <v>0</v>
      </c>
      <c r="D23" s="92"/>
      <c r="E23" s="92">
        <f>AF23*' KF OECD Europe'!I57/T23*' KF OECD Europe'!I$140/' KF OECD Europe'!I$140*-1</f>
        <v>-71.810480000000013</v>
      </c>
      <c r="F23" s="92">
        <f>AF23*' KF OECD Europe'!I$58/T23*' KF OECD Europe'!I$140/' KF OECD Europe'!I$140*-1</f>
        <v>-1.8004960000000001</v>
      </c>
      <c r="G23" s="92"/>
      <c r="H23" s="92"/>
      <c r="I23" s="92">
        <f>AF23*' KF OECD Europe'!I$59/T23*' KF OECD Europe'!I$142/' KF OECD Europe'!I$142*-1</f>
        <v>-2.3029600000000001</v>
      </c>
      <c r="J23" s="92">
        <f>AF23*' KF OECD Europe'!I$60/T23*' KF OECD Europe'!I$140/' KF OECD Europe'!I$140*-1</f>
        <v>-0.75369600000000003</v>
      </c>
      <c r="K23" s="92">
        <f>AF23*' KF OECD Europe'!I$61/T23*' KF OECD Europe'!I$141/' KF OECD Europe'!I$141*-1</f>
        <v>-7.9556799999999939</v>
      </c>
      <c r="L23" s="92">
        <f>AF23*' KF OECD Europe'!I$62/T23*' KF OECD Europe'!I$142/' KF OECD Europe'!I$142*-1</f>
        <v>-1.7167520000000001</v>
      </c>
      <c r="M23" s="92"/>
      <c r="N23" s="23">
        <f t="shared" si="8"/>
        <v>-86.340063999999998</v>
      </c>
      <c r="O23" s="84" t="s">
        <v>92</v>
      </c>
      <c r="P23" s="85" t="s">
        <v>93</v>
      </c>
      <c r="Q23" s="86" t="s">
        <v>85</v>
      </c>
      <c r="R23" s="86"/>
      <c r="S23" s="24">
        <f t="shared" si="1"/>
        <v>33.887009599999992</v>
      </c>
      <c r="T23" s="37">
        <f>(' KF OECD Europe'!I56+' KF OECD Europe'!I57+' KF OECD Europe'!I58+' KF OECD Europe'!I60)*' KF OECD Europe'!I140+(' KF OECD Europe'!I59+' KF OECD Europe'!I62)*' KF OECD Europe'!I142+' KF OECD Europe'!I61*' KF OECD Europe'!I141</f>
        <v>0.39248302618816672</v>
      </c>
      <c r="U23" s="61"/>
      <c r="V23" s="92"/>
      <c r="W23" s="92"/>
      <c r="X23" s="92"/>
      <c r="Y23" s="92"/>
      <c r="Z23" s="92"/>
      <c r="AA23" s="92"/>
      <c r="AB23" s="92"/>
      <c r="AC23" s="92"/>
      <c r="AD23" s="92"/>
      <c r="AE23" s="92"/>
      <c r="AF23" s="92">
        <f>((' KF OECD Europe'!G56+' KF OECD Europe'!G57+' KF OECD Europe'!G58+' KF OECD Europe'!G60)*' KF OECD Europe'!G140+(' KF OECD Europe'!G59+' KF OECD Europe'!G62)*' KF OECD Europe'!G142+' KF OECD Europe'!G61*' KF OECD Europe'!G141)*' KF OECD Europe'!I5*' KF OECD Europe'!I12*-1</f>
        <v>33.887009599999992</v>
      </c>
      <c r="AG23" s="92">
        <f t="shared" si="9"/>
        <v>52.453054400000006</v>
      </c>
      <c r="AH23" s="87">
        <f>-(C23*Emissionsfaktorer!$B$2+D23*Emissionsfaktorer!$B$3+E23*Emissionsfaktorer!$B$4+F23*Emissionsfaktorer!$B$5+G23*Emissionsfaktorer!$B$6+H23*Emissionsfaktorer!$B$7+I23*Emissionsfaktorer!$B$8+J23*Emissionsfaktorer!$B$9+K23*Emissionsfaktorer!$B$10+L23*Emissionsfaktorer!$B$11+M23*Emissionsfaktorer!$B$12)</f>
        <v>5.5602247520000008</v>
      </c>
    </row>
    <row r="24" spans="3:34" x14ac:dyDescent="0.35">
      <c r="C24" s="92">
        <f>AF24*' KF OECD Europe'!I$64/T24*' KF OECD Europe'!I$139/' KF OECD Europe'!I$139*-1</f>
        <v>-6.3226719999999998</v>
      </c>
      <c r="D24" s="92"/>
      <c r="E24" s="92">
        <f>AF24*' KF OECD Europe'!I65/T24*' KF OECD Europe'!I$140/' KF OECD Europe'!I$140*-1</f>
        <v>-78.091279999999998</v>
      </c>
      <c r="F24" s="92">
        <f>AF24*' KF OECD Europe'!I$66/T24*' KF OECD Europe'!I$140/' KF OECD Europe'!I$140*-1</f>
        <v>-39.736528</v>
      </c>
      <c r="G24" s="92"/>
      <c r="H24" s="92"/>
      <c r="I24" s="92">
        <f>AF24*' KF OECD Europe'!I$67/T24*' KF OECD Europe'!I$142/' KF OECD Europe'!I$142*-1</f>
        <v>-0.25123200000000001</v>
      </c>
      <c r="J24" s="92">
        <f>AF24*' KF OECD Europe'!I$68/T24*' KF OECD Europe'!I$140/' KF OECD Europe'!I$140*-1</f>
        <v>-8.3744000000000013E-2</v>
      </c>
      <c r="K24" s="92">
        <f>AF24*' KF OECD Europe'!I$69/T24*' KF OECD Europe'!I$141/' KF OECD Europe'!I$141*-1</f>
        <v>-7.7463200000000052</v>
      </c>
      <c r="L24" s="92">
        <f>AF24*' KF OECD Europe'!I$70/T24*' KF OECD Europe'!I$142/' KF OECD Europe'!I$142*-1</f>
        <v>-2.8891679999999997</v>
      </c>
      <c r="M24" s="92"/>
      <c r="N24" s="23">
        <f t="shared" si="8"/>
        <v>-135.12094400000001</v>
      </c>
      <c r="O24" s="84" t="s">
        <v>94</v>
      </c>
      <c r="P24" s="85" t="s">
        <v>95</v>
      </c>
      <c r="Q24" s="86" t="s">
        <v>85</v>
      </c>
      <c r="R24" s="86"/>
      <c r="S24" s="24">
        <f t="shared" si="1"/>
        <v>109.88678320000001</v>
      </c>
      <c r="T24" s="37">
        <f>(' KF OECD Europe'!I64+' KF OECD Europe'!I65+' KF OECD Europe'!I66+' KF OECD Europe'!I68)*' KF OECD Europe'!I139+(' KF OECD Europe'!I67+' KF OECD Europe'!I70)*' KF OECD Europe'!I142+' KF OECD Europe'!I69*' KF OECD Europe'!I141</f>
        <v>0.81324759838859628</v>
      </c>
      <c r="U24" s="61"/>
      <c r="V24" s="92"/>
      <c r="W24" s="92"/>
      <c r="X24" s="92"/>
      <c r="Y24" s="92"/>
      <c r="Z24" s="92"/>
      <c r="AA24" s="92"/>
      <c r="AB24" s="92"/>
      <c r="AC24" s="92"/>
      <c r="AD24" s="92"/>
      <c r="AE24" s="92"/>
      <c r="AF24" s="92">
        <f>((' KF OECD Europe'!G64+' KF OECD Europe'!G65+' KF OECD Europe'!G66+' KF OECD Europe'!G68)*' KF OECD Europe'!G139+(' KF OECD Europe'!G67+' KF OECD Europe'!G70)*' KF OECD Europe'!G142+' KF OECD Europe'!G69*' KF OECD Europe'!G141)*' KF OECD Europe'!I5*' KF OECD Europe'!I13*-1</f>
        <v>109.88678320000001</v>
      </c>
      <c r="AG24" s="92">
        <f t="shared" si="9"/>
        <v>25.234160799999998</v>
      </c>
      <c r="AH24" s="87">
        <f>-(C24*Emissionsfaktorer!$B$2+D24*Emissionsfaktorer!$B$3+E24*Emissionsfaktorer!$B$4+F24*Emissionsfaktorer!$B$5+G24*Emissionsfaktorer!$B$6+H24*Emissionsfaktorer!$B$7+I24*Emissionsfaktorer!$B$8+J24*Emissionsfaktorer!$B$9+K24*Emissionsfaktorer!$B$10+L24*Emissionsfaktorer!$B$11+M24*Emissionsfaktorer!$B$12)</f>
        <v>8.8005732160000001</v>
      </c>
    </row>
    <row r="25" spans="3:34" x14ac:dyDescent="0.35"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23">
        <f>N16</f>
        <v>-48074.08064</v>
      </c>
      <c r="O25" s="10" t="s">
        <v>11</v>
      </c>
      <c r="P25" s="71" t="s">
        <v>96</v>
      </c>
      <c r="Q25" s="71"/>
      <c r="R25" s="71"/>
      <c r="S25" s="24">
        <f t="shared" si="1"/>
        <v>32742.492667456485</v>
      </c>
      <c r="T25" s="37">
        <f>AF25/N25*-1</f>
        <v>0.68108411500672816</v>
      </c>
      <c r="U25" s="61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>
        <f>AF16</f>
        <v>32742.492667456485</v>
      </c>
      <c r="AG25" s="14">
        <f>-(S25+N25)</f>
        <v>15331.587972543515</v>
      </c>
      <c r="AH25" s="14"/>
    </row>
    <row r="28" spans="3:34" x14ac:dyDescent="0.35">
      <c r="X28" s="95"/>
    </row>
    <row r="29" spans="3:34" x14ac:dyDescent="0.35">
      <c r="X29" s="95"/>
    </row>
    <row r="30" spans="3:34" x14ac:dyDescent="0.35">
      <c r="X30" s="95"/>
    </row>
  </sheetData>
  <pageMargins left="0.7" right="0.7" top="0.75" bottom="0.75" header="0.3" footer="0.3"/>
  <pageSetup paperSize="9" orientation="portrait" horizontalDpi="4294967293" verticalDpi="4294967293"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 codeName="Ark61"/>
  <dimension ref="A1:AH30"/>
  <sheetViews>
    <sheetView topLeftCell="I10" zoomScale="130" zoomScaleNormal="130" workbookViewId="0">
      <selection activeCell="R17" sqref="R17"/>
    </sheetView>
  </sheetViews>
  <sheetFormatPr defaultRowHeight="14.5" x14ac:dyDescent="0.35"/>
  <cols>
    <col min="3" max="3" width="16.453125" customWidth="1"/>
    <col min="4" max="4" width="12.81640625" customWidth="1"/>
    <col min="5" max="5" width="12.54296875" customWidth="1"/>
    <col min="6" max="6" width="16.54296875" customWidth="1"/>
    <col min="10" max="10" width="12.54296875" customWidth="1"/>
    <col min="11" max="11" width="11.54296875" customWidth="1"/>
    <col min="14" max="14" width="10.81640625" customWidth="1"/>
    <col min="15" max="15" width="51.54296875" customWidth="1"/>
    <col min="16" max="18" width="15.81640625" customWidth="1"/>
    <col min="19" max="19" width="12.81640625" customWidth="1"/>
    <col min="24" max="24" width="14.1796875" bestFit="1" customWidth="1"/>
    <col min="33" max="34" width="11.26953125" customWidth="1"/>
  </cols>
  <sheetData>
    <row r="1" spans="1:34" ht="140" x14ac:dyDescent="0.35">
      <c r="B1" s="44" t="s">
        <v>0</v>
      </c>
      <c r="C1" s="3" t="s">
        <v>1</v>
      </c>
      <c r="D1" s="8" t="s">
        <v>2</v>
      </c>
      <c r="E1" s="2" t="s">
        <v>3</v>
      </c>
      <c r="F1" s="3" t="s">
        <v>4</v>
      </c>
      <c r="G1" s="1" t="s">
        <v>5</v>
      </c>
      <c r="H1" s="1" t="s">
        <v>6</v>
      </c>
      <c r="I1" s="1" t="s">
        <v>7</v>
      </c>
      <c r="J1" s="3" t="s">
        <v>8</v>
      </c>
      <c r="K1" s="2" t="s">
        <v>9</v>
      </c>
      <c r="L1" s="2" t="s">
        <v>10</v>
      </c>
      <c r="M1" s="17" t="s">
        <v>11</v>
      </c>
      <c r="N1" s="5" t="s">
        <v>12</v>
      </c>
      <c r="O1" s="4" t="s">
        <v>265</v>
      </c>
      <c r="P1" s="60"/>
      <c r="Q1" s="60"/>
      <c r="R1" s="12" t="s">
        <v>14</v>
      </c>
      <c r="S1" s="11" t="s">
        <v>15</v>
      </c>
      <c r="T1" s="12" t="s">
        <v>16</v>
      </c>
      <c r="U1" s="44" t="s">
        <v>17</v>
      </c>
      <c r="V1" s="3" t="s">
        <v>1</v>
      </c>
      <c r="W1" s="8" t="s">
        <v>2</v>
      </c>
      <c r="X1" s="9" t="s">
        <v>3</v>
      </c>
      <c r="Y1" s="3" t="s">
        <v>4</v>
      </c>
      <c r="Z1" s="1" t="s">
        <v>5</v>
      </c>
      <c r="AA1" s="1" t="s">
        <v>6</v>
      </c>
      <c r="AB1" s="1" t="s">
        <v>7</v>
      </c>
      <c r="AC1" s="3" t="s">
        <v>8</v>
      </c>
      <c r="AD1" s="2" t="s">
        <v>9</v>
      </c>
      <c r="AE1" s="2" t="s">
        <v>10</v>
      </c>
      <c r="AF1" s="17" t="s">
        <v>11</v>
      </c>
      <c r="AG1" s="13" t="s">
        <v>18</v>
      </c>
      <c r="AH1" s="13" t="s">
        <v>19</v>
      </c>
    </row>
    <row r="2" spans="1:34" ht="24.75" customHeight="1" x14ac:dyDescent="0.35">
      <c r="A2" s="45" t="s">
        <v>20</v>
      </c>
      <c r="B2" s="46" t="s">
        <v>21</v>
      </c>
      <c r="C2" s="46" t="s">
        <v>22</v>
      </c>
      <c r="D2" s="46" t="s">
        <v>23</v>
      </c>
      <c r="E2" s="47" t="s">
        <v>24</v>
      </c>
      <c r="F2" s="46" t="s">
        <v>25</v>
      </c>
      <c r="G2" s="46" t="s">
        <v>26</v>
      </c>
      <c r="H2" s="46" t="s">
        <v>27</v>
      </c>
      <c r="I2" s="46" t="s">
        <v>28</v>
      </c>
      <c r="J2" s="48" t="s">
        <v>29</v>
      </c>
      <c r="K2" s="47" t="s">
        <v>30</v>
      </c>
      <c r="L2" s="49" t="s">
        <v>31</v>
      </c>
      <c r="M2" s="49" t="s">
        <v>32</v>
      </c>
      <c r="N2" s="50" t="s">
        <v>33</v>
      </c>
      <c r="O2" s="51"/>
      <c r="P2" s="52" t="s">
        <v>20</v>
      </c>
      <c r="Q2" s="53" t="s">
        <v>34</v>
      </c>
      <c r="R2" s="50" t="s">
        <v>35</v>
      </c>
      <c r="S2" s="54" t="s">
        <v>36</v>
      </c>
      <c r="T2" s="50" t="s">
        <v>37</v>
      </c>
      <c r="U2" s="46" t="s">
        <v>38</v>
      </c>
      <c r="V2" s="46" t="s">
        <v>39</v>
      </c>
      <c r="W2" s="46" t="s">
        <v>40</v>
      </c>
      <c r="X2" s="47" t="s">
        <v>41</v>
      </c>
      <c r="Y2" s="46" t="s">
        <v>42</v>
      </c>
      <c r="Z2" s="46" t="s">
        <v>43</v>
      </c>
      <c r="AA2" s="46" t="s">
        <v>44</v>
      </c>
      <c r="AB2" s="46" t="s">
        <v>45</v>
      </c>
      <c r="AC2" s="46" t="s">
        <v>46</v>
      </c>
      <c r="AD2" s="47" t="s">
        <v>47</v>
      </c>
      <c r="AE2" s="47" t="s">
        <v>48</v>
      </c>
      <c r="AF2" s="49" t="s">
        <v>49</v>
      </c>
      <c r="AG2" s="46" t="s">
        <v>50</v>
      </c>
      <c r="AH2" s="46" t="s">
        <v>51</v>
      </c>
    </row>
    <row r="3" spans="1:34" ht="24.75" customHeight="1" x14ac:dyDescent="0.35">
      <c r="A3" s="45" t="s">
        <v>34</v>
      </c>
      <c r="B3" s="55"/>
      <c r="C3" s="56" t="s">
        <v>52</v>
      </c>
      <c r="D3" s="56" t="s">
        <v>52</v>
      </c>
      <c r="E3" s="56" t="s">
        <v>21</v>
      </c>
      <c r="F3" s="56" t="s">
        <v>21</v>
      </c>
      <c r="G3" s="56" t="s">
        <v>21</v>
      </c>
      <c r="H3" s="56" t="s">
        <v>52</v>
      </c>
      <c r="I3" s="56" t="s">
        <v>52</v>
      </c>
      <c r="J3" s="56" t="s">
        <v>21</v>
      </c>
      <c r="K3" s="56" t="s">
        <v>21</v>
      </c>
      <c r="L3" s="57" t="s">
        <v>21</v>
      </c>
      <c r="M3" s="57" t="s">
        <v>21</v>
      </c>
      <c r="N3" s="50"/>
      <c r="O3" s="51" t="s">
        <v>53</v>
      </c>
      <c r="P3" s="52"/>
      <c r="Q3" s="53"/>
      <c r="R3" s="74"/>
      <c r="S3" s="58"/>
      <c r="T3" s="59"/>
      <c r="U3" s="55"/>
      <c r="V3" s="56" t="s">
        <v>38</v>
      </c>
      <c r="W3" s="56" t="s">
        <v>38</v>
      </c>
      <c r="X3" s="56" t="s">
        <v>38</v>
      </c>
      <c r="Y3" s="56" t="s">
        <v>38</v>
      </c>
      <c r="Z3" s="56" t="s">
        <v>38</v>
      </c>
      <c r="AA3" s="56" t="s">
        <v>38</v>
      </c>
      <c r="AB3" s="56" t="s">
        <v>54</v>
      </c>
      <c r="AC3" s="56" t="s">
        <v>38</v>
      </c>
      <c r="AD3" s="56" t="s">
        <v>38</v>
      </c>
      <c r="AE3" s="56" t="s">
        <v>38</v>
      </c>
      <c r="AF3" s="57" t="s">
        <v>38</v>
      </c>
      <c r="AG3" s="56"/>
      <c r="AH3" s="56"/>
    </row>
    <row r="4" spans="1:34" ht="24.75" customHeight="1" x14ac:dyDescent="0.35">
      <c r="A4" s="72" t="s">
        <v>55</v>
      </c>
      <c r="B4" s="72">
        <f>'Størrelse på strømme'!E9</f>
        <v>0</v>
      </c>
      <c r="C4" s="56"/>
      <c r="D4" s="56"/>
      <c r="E4" s="56"/>
      <c r="F4" s="56"/>
      <c r="G4" s="56"/>
      <c r="H4" s="56"/>
      <c r="I4" s="56"/>
      <c r="J4" s="56"/>
      <c r="K4" s="56"/>
      <c r="L4" s="57"/>
      <c r="M4" s="57"/>
      <c r="N4" s="50"/>
      <c r="O4" s="51"/>
      <c r="P4" s="73"/>
      <c r="Q4" s="53"/>
      <c r="R4" s="74"/>
      <c r="S4" s="58"/>
      <c r="T4" s="59"/>
      <c r="U4" s="55">
        <f>B4</f>
        <v>0</v>
      </c>
      <c r="V4" s="56"/>
      <c r="W4" s="56"/>
      <c r="X4" s="56"/>
      <c r="Y4" s="56"/>
      <c r="Z4" s="56"/>
      <c r="AA4" s="56"/>
      <c r="AB4" s="56"/>
      <c r="AC4" s="56"/>
      <c r="AD4" s="56"/>
      <c r="AE4" s="56"/>
      <c r="AF4" s="57"/>
      <c r="AG4" s="56">
        <f>U4</f>
        <v>0</v>
      </c>
      <c r="AH4" s="56">
        <f>U4</f>
        <v>0</v>
      </c>
    </row>
    <row r="5" spans="1:34" x14ac:dyDescent="0.35">
      <c r="C5" s="14"/>
      <c r="D5" s="14"/>
      <c r="E5" s="14"/>
      <c r="F5" s="14"/>
      <c r="G5" s="14"/>
      <c r="H5" s="14"/>
      <c r="I5" s="14"/>
      <c r="J5" s="14"/>
      <c r="K5" s="14"/>
      <c r="L5" s="14"/>
      <c r="M5" s="14"/>
      <c r="N5" s="23">
        <f>SUM(C5:M5)</f>
        <v>0</v>
      </c>
      <c r="O5" s="10" t="s">
        <v>56</v>
      </c>
      <c r="P5" s="62" t="s">
        <v>57</v>
      </c>
      <c r="Q5" s="63"/>
      <c r="R5" s="63"/>
      <c r="S5" s="24">
        <f>SUM(V5:AF5)</f>
        <v>62354.734604512101</v>
      </c>
      <c r="T5" s="37"/>
      <c r="U5" s="61"/>
      <c r="V5" s="14">
        <f>-(C6+C5)</f>
        <v>9489.5021532771279</v>
      </c>
      <c r="W5" s="14">
        <f>-(D6+D5)</f>
        <v>19943.712884112028</v>
      </c>
      <c r="X5" s="14"/>
      <c r="Y5" s="14">
        <f>-(F6+F5)</f>
        <v>17174.359278493022</v>
      </c>
      <c r="Z5" s="14">
        <f>-(G6+G5)</f>
        <v>9038.0919484064798</v>
      </c>
      <c r="AA5" s="14"/>
      <c r="AB5" s="14"/>
      <c r="AC5" s="14">
        <f>-(J6+J5)</f>
        <v>6709.0683402234436</v>
      </c>
      <c r="AD5" s="14"/>
      <c r="AE5" s="14"/>
      <c r="AF5" s="14"/>
      <c r="AG5" s="14"/>
      <c r="AH5" s="14"/>
    </row>
    <row r="6" spans="1:34" x14ac:dyDescent="0.35">
      <c r="C6" s="14">
        <f>-V6</f>
        <v>-9489.5021532771279</v>
      </c>
      <c r="D6" s="14">
        <f>-W6</f>
        <v>-19943.712884112028</v>
      </c>
      <c r="E6" s="14"/>
      <c r="F6" s="14">
        <f>-Y6</f>
        <v>-17174.359278493022</v>
      </c>
      <c r="G6" s="14">
        <f>-Z6</f>
        <v>-9038.0919484064798</v>
      </c>
      <c r="H6" s="14"/>
      <c r="I6" s="14"/>
      <c r="J6" s="14">
        <f>-AC6</f>
        <v>-6709.0683402234436</v>
      </c>
      <c r="K6" s="14"/>
      <c r="L6" s="18"/>
      <c r="M6" s="18"/>
      <c r="N6" s="23">
        <f t="shared" ref="N6:N15" si="0">SUM(C6:M6)</f>
        <v>-62354.734604512101</v>
      </c>
      <c r="O6" s="22" t="s">
        <v>58</v>
      </c>
      <c r="P6" s="65" t="s">
        <v>59</v>
      </c>
      <c r="Q6" s="66"/>
      <c r="R6" s="66"/>
      <c r="S6" s="24">
        <f t="shared" ref="S6:S25" si="1">SUM(V6:AF6)</f>
        <v>62354.734604512101</v>
      </c>
      <c r="T6" s="37"/>
      <c r="U6" s="61"/>
      <c r="V6" s="14">
        <f>-(C16+C8)</f>
        <v>9489.5021532771279</v>
      </c>
      <c r="W6" s="14">
        <f>-(D16+D8)</f>
        <v>19943.712884112028</v>
      </c>
      <c r="X6" s="14"/>
      <c r="Y6" s="14">
        <f>-(F16+F8)</f>
        <v>17174.359278493022</v>
      </c>
      <c r="Z6" s="14">
        <f>-(G16+G8)</f>
        <v>9038.0919484064798</v>
      </c>
      <c r="AA6" s="14"/>
      <c r="AB6" s="14"/>
      <c r="AC6" s="14">
        <f>-(J16+J8)</f>
        <v>6709.0683402234436</v>
      </c>
      <c r="AD6" s="14"/>
      <c r="AE6" s="14"/>
      <c r="AF6" s="14"/>
      <c r="AG6" s="21">
        <f>-(N6+S6)</f>
        <v>0</v>
      </c>
      <c r="AH6" s="21"/>
    </row>
    <row r="7" spans="1:34" x14ac:dyDescent="0.35"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23">
        <f t="shared" si="0"/>
        <v>0</v>
      </c>
      <c r="O7" s="22" t="s">
        <v>60</v>
      </c>
      <c r="P7" s="67" t="s">
        <v>61</v>
      </c>
      <c r="Q7" s="66"/>
      <c r="R7" s="66"/>
      <c r="S7" s="24">
        <f t="shared" si="1"/>
        <v>4746.0429127771622</v>
      </c>
      <c r="T7" s="37"/>
      <c r="U7" s="61"/>
      <c r="V7" s="14"/>
      <c r="W7" s="14"/>
      <c r="X7" s="14"/>
      <c r="Y7" s="14"/>
      <c r="Z7" s="16"/>
      <c r="AA7" s="19">
        <f>-H8</f>
        <v>2050.6049175102594</v>
      </c>
      <c r="AB7" s="19">
        <f>-I8</f>
        <v>2695.4379952669028</v>
      </c>
      <c r="AC7" s="14"/>
      <c r="AD7" s="14"/>
      <c r="AE7" s="14"/>
      <c r="AF7" s="14"/>
      <c r="AG7" s="14"/>
      <c r="AH7" s="14"/>
    </row>
    <row r="8" spans="1:34" x14ac:dyDescent="0.35">
      <c r="C8" s="14">
        <f>SUM(C9:C13)</f>
        <v>-7709.7392176686444</v>
      </c>
      <c r="D8" s="14">
        <f t="shared" ref="D8:M8" si="2">SUM(D9:D13)</f>
        <v>-19943.712884112028</v>
      </c>
      <c r="E8" s="14">
        <f t="shared" si="2"/>
        <v>-1874.7760723836095</v>
      </c>
      <c r="F8" s="14">
        <f t="shared" si="2"/>
        <v>-6286.1224798827279</v>
      </c>
      <c r="G8" s="14">
        <f t="shared" si="2"/>
        <v>-9038.0919484064798</v>
      </c>
      <c r="H8" s="14">
        <f t="shared" si="2"/>
        <v>-2050.6049175102594</v>
      </c>
      <c r="I8" s="14">
        <f t="shared" si="2"/>
        <v>-2695.4379952669028</v>
      </c>
      <c r="J8" s="14">
        <f t="shared" si="2"/>
        <v>-2824.1586640343271</v>
      </c>
      <c r="K8" s="14">
        <f t="shared" si="2"/>
        <v>-972.76794138989942</v>
      </c>
      <c r="L8" s="14">
        <f t="shared" si="2"/>
        <v>-179.00280000000001</v>
      </c>
      <c r="M8" s="14">
        <f t="shared" si="2"/>
        <v>0</v>
      </c>
      <c r="N8" s="23">
        <f t="shared" si="0"/>
        <v>-53574.41492065489</v>
      </c>
      <c r="O8" s="22" t="s">
        <v>62</v>
      </c>
      <c r="P8" s="67" t="s">
        <v>63</v>
      </c>
      <c r="Q8" s="66"/>
      <c r="R8" s="66"/>
      <c r="S8" s="24">
        <f t="shared" si="1"/>
        <v>35379.958487380776</v>
      </c>
      <c r="T8" s="37"/>
      <c r="U8" s="61"/>
      <c r="V8" s="14">
        <f>SUM(V9:V13)</f>
        <v>0</v>
      </c>
      <c r="W8" s="14"/>
      <c r="X8" s="14">
        <f>(E14+E8)*-1</f>
        <v>19757.571879069721</v>
      </c>
      <c r="Y8" s="14"/>
      <c r="Z8" s="14"/>
      <c r="AA8" s="14"/>
      <c r="AB8" s="14"/>
      <c r="AC8" s="14"/>
      <c r="AD8" s="14">
        <f>(K14+K8)*-1</f>
        <v>13222.287865543758</v>
      </c>
      <c r="AE8" s="14">
        <f>(L14+L8)*-1</f>
        <v>2400.0987427672962</v>
      </c>
      <c r="AF8" s="14"/>
      <c r="AG8" s="21">
        <f>-(N8+S8)</f>
        <v>18194.456433274114</v>
      </c>
      <c r="AH8" s="21">
        <f>SUM(AH9:AH13)</f>
        <v>1233.217188532991</v>
      </c>
    </row>
    <row r="9" spans="1:34" x14ac:dyDescent="0.35">
      <c r="C9" s="26">
        <f>-($AD$9+$H$9+$I$9)/$T$9*' KF OECD Europe'!$H109</f>
        <v>-4860.6455769756603</v>
      </c>
      <c r="D9" s="26">
        <f>-($AD$9+$H$9+$I$9)/$T$9*' KF OECD Europe'!$H110</f>
        <v>0</v>
      </c>
      <c r="E9" s="26">
        <f>-($AD$9+$H$9+$I$9)/$T$9*' KF OECD Europe'!$H111</f>
        <v>-263.73250718521319</v>
      </c>
      <c r="F9" s="26">
        <f>-($AD$9+$H$9+$I$9)/$T$9*' KF OECD Europe'!$H112</f>
        <v>-2714.8563777407107</v>
      </c>
      <c r="G9" s="26">
        <f>-($AD$9+$H$9+$I$9)/$T$9*' KF OECD Europe'!$H113</f>
        <v>-8915.6379309183521</v>
      </c>
      <c r="H9" s="26">
        <f>AD9*' KF OECD Europe'!H94*-1</f>
        <v>-2050.6049175102594</v>
      </c>
      <c r="I9" s="26">
        <f>AD9*' KF OECD Europe'!H95*-1</f>
        <v>-2508.543338730135</v>
      </c>
      <c r="J9" s="26">
        <f>-($AD$9+$H$9+$I$9)/$T$9*' KF OECD Europe'!$H114</f>
        <v>-958.48864824530415</v>
      </c>
      <c r="K9" s="25"/>
      <c r="L9" s="25"/>
      <c r="M9" s="25"/>
      <c r="N9" s="23">
        <f t="shared" si="0"/>
        <v>-22272.509297305634</v>
      </c>
      <c r="O9" s="6" t="s">
        <v>64</v>
      </c>
      <c r="P9" s="68" t="s">
        <v>65</v>
      </c>
      <c r="Q9" s="69" t="s">
        <v>63</v>
      </c>
      <c r="R9" s="69"/>
      <c r="S9" s="24">
        <f t="shared" si="1"/>
        <v>10731.409317702073</v>
      </c>
      <c r="T9" s="37">
        <f>' KF OECD Europe'!H104</f>
        <v>0.34845228114260202</v>
      </c>
      <c r="U9" s="61"/>
      <c r="V9" s="28"/>
      <c r="W9" s="28"/>
      <c r="X9" s="28"/>
      <c r="Y9" s="28"/>
      <c r="Z9" s="28"/>
      <c r="AA9" s="28"/>
      <c r="AB9" s="28"/>
      <c r="AC9" s="28"/>
      <c r="AD9" s="28">
        <f>AD8-AD10</f>
        <v>10731.409317702073</v>
      </c>
      <c r="AE9" s="28"/>
      <c r="AF9" s="28"/>
      <c r="AG9" s="29">
        <f>-(S9+N9)</f>
        <v>11541.099979603561</v>
      </c>
      <c r="AH9" s="29">
        <f>-(C9*Emissionsfaktorer!$B$2*(1-' KF OECD Europe'!H134)+D9*Emissionsfaktorer!$B$3+E9*Emissionsfaktorer!$B$4*(1-' KF OECD Europe'!H135)+F9*Emissionsfaktorer!$B$5*(1-' KF OECD Europe'!H136)+G9*Emissionsfaktorer!$B$6+H9*Emissionsfaktorer!$B$7+I9*Emissionsfaktorer!$B$8-J9*Emissionsfaktorer!B13*' KF OECD Europe'!H137+K9*Emissionsfaktorer!$B$10+L9*Emissionsfaktorer!$B$11+M9*Emissionsfaktorer!$B$12)</f>
        <v>636.55181388998449</v>
      </c>
    </row>
    <row r="10" spans="1:34" x14ac:dyDescent="0.35">
      <c r="C10" s="26">
        <f>-($AD$10+$AE$10+$H$10+$I$10)/$T$10*' KF OECD Europe'!$H116</f>
        <v>-2383.8835624069466</v>
      </c>
      <c r="D10" s="26">
        <f>-($AD$10+$AE$10+$H$10+$I$10)/$T$10*' KF OECD Europe'!$H117</f>
        <v>0</v>
      </c>
      <c r="E10" s="26">
        <f>-($AD$10+$AE$10+$H$10+$I$10)/$T$10*' KF OECD Europe'!$H118</f>
        <v>-288.0925049514845</v>
      </c>
      <c r="F10" s="26">
        <f>-($AD$10+$AE$10+$H$10+$I$10)/$T$10*' KF OECD Europe'!$H119</f>
        <v>-2283.0637881457105</v>
      </c>
      <c r="G10" s="26">
        <f>-($AD$10+$AE$10+$H$10+$I$10)/$T$10*' KF OECD Europe'!$H120</f>
        <v>-122.45401748812736</v>
      </c>
      <c r="H10" s="26"/>
      <c r="I10" s="26">
        <f>(AD10+AE10)*' KF OECD Europe'!H98*-1</f>
        <v>-119.5554489781168</v>
      </c>
      <c r="J10" s="26">
        <f>-($AD$10+$AE$10+$H$10+$I$10)/$T$10*' KF OECD Europe'!$H121</f>
        <v>-1551.7843588375383</v>
      </c>
      <c r="K10" s="25"/>
      <c r="L10" s="25"/>
      <c r="M10" s="25"/>
      <c r="N10" s="23">
        <f t="shared" si="0"/>
        <v>-6748.8336808079239</v>
      </c>
      <c r="O10" s="6" t="s">
        <v>66</v>
      </c>
      <c r="P10" s="68" t="s">
        <v>67</v>
      </c>
      <c r="Q10" s="69" t="s">
        <v>63</v>
      </c>
      <c r="R10" s="69"/>
      <c r="S10" s="24">
        <f t="shared" si="1"/>
        <v>4143.9447715724909</v>
      </c>
      <c r="T10" s="37">
        <f>' KF OECD Europe'!H105</f>
        <v>0.60706296852524255</v>
      </c>
      <c r="U10" s="61"/>
      <c r="V10" s="28"/>
      <c r="W10" s="28"/>
      <c r="X10" s="28"/>
      <c r="Y10" s="28"/>
      <c r="Z10" s="28"/>
      <c r="AA10" s="28"/>
      <c r="AB10" s="28"/>
      <c r="AC10" s="28"/>
      <c r="AD10" s="28">
        <f>AE10*' KF OECD Europe'!H90</f>
        <v>2490.8785478416848</v>
      </c>
      <c r="AE10" s="28">
        <f>AE8*' KF OECD Europe'!H85</f>
        <v>1653.0662237308061</v>
      </c>
      <c r="AF10" s="28"/>
      <c r="AG10" s="29">
        <f t="shared" ref="AG10:AG11" si="3">-(S10+N10)</f>
        <v>2604.8889092354329</v>
      </c>
      <c r="AH10" s="29">
        <f>-(C10*Emissionsfaktorer!$B$2*(1-' KF OECD Europe'!H135)+D10*Emissionsfaktorer!$B$3+E10*Emissionsfaktorer!$B$4*(1-' KF OECD Europe'!H136)+F10*Emissionsfaktorer!$B$5*(1-' KF OECD Europe'!H137)+G10*Emissionsfaktorer!$B$6+H10*Emissionsfaktorer!$B$7+I10*Emissionsfaktorer!$B$8-J10*Emissionsfaktorer!B14*' KF OECD Europe'!H142+K10*Emissionsfaktorer!$B$10+L10*Emissionsfaktorer!$B$11+M10*Emissionsfaktorer!$B$12)</f>
        <v>378.49860472927827</v>
      </c>
    </row>
    <row r="11" spans="1:34" x14ac:dyDescent="0.35">
      <c r="C11" s="26">
        <f>-($AE$11+$H$11+$I$11)/$T$11*' KF OECD Europe'!$H123</f>
        <v>-145.7685902860384</v>
      </c>
      <c r="D11" s="26">
        <f>-($AE$11+$H$11+$I$11)/$T$11*' KF OECD Europe'!$H124</f>
        <v>0</v>
      </c>
      <c r="E11" s="26">
        <f>-($AE$11+$H$11+$I$11)/$T$11*' KF OECD Europe'!$H125</f>
        <v>-27.431380246911548</v>
      </c>
      <c r="F11" s="26">
        <f>-($AE$11+$H$11+$I$11)/$T$11*' KF OECD Europe'!$H126</f>
        <v>-338.83845799630717</v>
      </c>
      <c r="G11" s="26">
        <f>-($AE$11+$H$11+$I$11)/$T$11*' KF OECD Europe'!$H127</f>
        <v>0</v>
      </c>
      <c r="H11" s="26"/>
      <c r="I11" s="26">
        <f>AE11*' KF OECD Europe'!H101*-1</f>
        <v>-67.339207558651168</v>
      </c>
      <c r="J11" s="26">
        <f>-($AE$11+$H$11+$I$11)/$T$11*' KF OECD Europe'!$H128</f>
        <v>-288.09250495148456</v>
      </c>
      <c r="K11" s="28">
        <f>AE11*' KF OECD Europe'!H88*-1</f>
        <v>-12.182389389899461</v>
      </c>
      <c r="L11" s="25"/>
      <c r="M11" s="25"/>
      <c r="N11" s="23">
        <f t="shared" si="0"/>
        <v>-879.65253042929226</v>
      </c>
      <c r="O11" s="6" t="s">
        <v>68</v>
      </c>
      <c r="P11" s="64" t="s">
        <v>69</v>
      </c>
      <c r="Q11" s="69" t="s">
        <v>63</v>
      </c>
      <c r="R11" s="69"/>
      <c r="S11" s="24">
        <f t="shared" si="1"/>
        <v>747.03251903649016</v>
      </c>
      <c r="T11" s="37">
        <f>' KF OECD Europe'!H106</f>
        <v>0.84947760802226069</v>
      </c>
      <c r="U11" s="61"/>
      <c r="V11" s="28"/>
      <c r="W11" s="28"/>
      <c r="X11" s="28"/>
      <c r="Y11" s="28"/>
      <c r="Z11" s="28"/>
      <c r="AA11" s="28"/>
      <c r="AB11" s="28"/>
      <c r="AC11" s="28"/>
      <c r="AD11" s="28"/>
      <c r="AE11" s="28">
        <f>AE8*' KF OECD Europe'!H86</f>
        <v>747.03251903649016</v>
      </c>
      <c r="AF11" s="28"/>
      <c r="AG11" s="29">
        <f t="shared" si="3"/>
        <v>132.6200113928021</v>
      </c>
      <c r="AH11" s="29">
        <f>-(C11*Emissionsfaktorer!$B$2+D11*Emissionsfaktorer!$B$3+E11*Emissionsfaktorer!$B$4+F11*Emissionsfaktorer!$B$5+G11*Emissionsfaktorer!$B$6+H11*Emissionsfaktorer!$B$7+I11*Emissionsfaktorer!$B$8+J11*Emissionsfaktorer!$B$9+K11*Emissionsfaktorer!$B$10+L11*Emissionsfaktorer!$B$11+M11*Emissionsfaktorer!$B$12)</f>
        <v>35.246593081728435</v>
      </c>
    </row>
    <row r="12" spans="1:34" x14ac:dyDescent="0.35">
      <c r="C12" s="26"/>
      <c r="D12" s="26">
        <f>-X12/T12*' KF OECD Europe'!H130</f>
        <v>-19943.712884112028</v>
      </c>
      <c r="E12" s="25"/>
      <c r="F12" s="26"/>
      <c r="G12" s="26"/>
      <c r="H12" s="26"/>
      <c r="I12" s="26"/>
      <c r="J12" s="27">
        <f>-X12/T12*' KF OECD Europe'!H131</f>
        <v>0</v>
      </c>
      <c r="K12" s="25"/>
      <c r="L12" s="25"/>
      <c r="M12" s="25"/>
      <c r="N12" s="23">
        <f t="shared" si="0"/>
        <v>-19943.712884112028</v>
      </c>
      <c r="O12" s="6" t="s">
        <v>70</v>
      </c>
      <c r="P12" s="64" t="s">
        <v>71</v>
      </c>
      <c r="Q12" s="69" t="s">
        <v>63</v>
      </c>
      <c r="R12" s="69"/>
      <c r="S12" s="24">
        <f t="shared" si="1"/>
        <v>19757.571879069721</v>
      </c>
      <c r="T12" s="37">
        <f>' KF OECD Europe'!H107</f>
        <v>0.99066668247161771</v>
      </c>
      <c r="U12" s="61"/>
      <c r="V12" s="28"/>
      <c r="W12" s="28"/>
      <c r="X12" s="28">
        <f>-(E9+E10+E11+E13+E14)</f>
        <v>19757.571879069721</v>
      </c>
      <c r="Y12" s="28"/>
      <c r="Z12" s="28"/>
      <c r="AA12" s="28"/>
      <c r="AB12" s="28"/>
      <c r="AC12" s="28"/>
      <c r="AD12" s="28"/>
      <c r="AE12" s="28"/>
      <c r="AF12" s="28"/>
      <c r="AG12" s="29">
        <f>-(S12+N12)</f>
        <v>186.14100504230737</v>
      </c>
      <c r="AH12" s="29">
        <f>J12*Emissionsfaktorer!B4</f>
        <v>0</v>
      </c>
    </row>
    <row r="13" spans="1:34" x14ac:dyDescent="0.35">
      <c r="C13" s="28">
        <f>N13*' KF OECD Europe'!H79</f>
        <v>-319.44148799999994</v>
      </c>
      <c r="D13" s="28">
        <f>N13*' KF OECD Europe'!H81</f>
        <v>0</v>
      </c>
      <c r="E13" s="28">
        <f>N13*' KF OECD Europe'!H82</f>
        <v>-1295.5196800000001</v>
      </c>
      <c r="F13" s="28">
        <f>N13*' KF OECD Europe'!H80</f>
        <v>-949.36385599999994</v>
      </c>
      <c r="G13" s="28"/>
      <c r="H13" s="28"/>
      <c r="I13" s="28"/>
      <c r="J13" s="36">
        <f>N13*' KF OECD Europe'!H83</f>
        <v>-25.793151999999996</v>
      </c>
      <c r="K13" s="28">
        <f>N13*' KF OECD Europe'!H77</f>
        <v>-960.58555200000001</v>
      </c>
      <c r="L13" s="28">
        <f>N13*' KF OECD Europe'!H78</f>
        <v>-179.00280000000001</v>
      </c>
      <c r="M13" s="25"/>
      <c r="N13" s="23">
        <f>N16*' KF OECD Europe'!H75</f>
        <v>-3729.7065279999997</v>
      </c>
      <c r="O13" s="6" t="s">
        <v>72</v>
      </c>
      <c r="P13" s="64" t="s">
        <v>73</v>
      </c>
      <c r="Q13" s="69" t="s">
        <v>63</v>
      </c>
      <c r="R13" s="69"/>
      <c r="S13" s="24">
        <f t="shared" si="1"/>
        <v>0</v>
      </c>
      <c r="T13" s="37">
        <v>0</v>
      </c>
      <c r="U13" s="61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9">
        <f>-(S13+N13)</f>
        <v>3729.7065279999997</v>
      </c>
      <c r="AH13" s="29">
        <f>-(C13*Emissionsfaktorer!$B$2+D13*Emissionsfaktorer!$B$3+E13*Emissionsfaktorer!$B$4+F13*Emissionsfaktorer!$B$5+G13*Emissionsfaktorer!$B$6+H13*Emissionsfaktorer!$B$7+I13*Emissionsfaktorer!$B$8+J13*Emissionsfaktorer!$B$9+K13*Emissionsfaktorer!$B$10+L13*Emissionsfaktorer!$B$11+M13*Emissionsfaktorer!$B$12)</f>
        <v>182.92017683199998</v>
      </c>
    </row>
    <row r="14" spans="1:34" x14ac:dyDescent="0.35">
      <c r="C14" s="15"/>
      <c r="D14" s="15"/>
      <c r="E14" s="16">
        <f>-X14*1</f>
        <v>-17882.79580668611</v>
      </c>
      <c r="F14" s="15"/>
      <c r="G14" s="15"/>
      <c r="H14" s="15"/>
      <c r="I14" s="15"/>
      <c r="J14" s="20"/>
      <c r="K14" s="16">
        <f>-AD14*(1+' KF OECD Europe'!H72)</f>
        <v>-12249.519924153859</v>
      </c>
      <c r="L14" s="16">
        <f>-AE14*(1+' KF OECD Europe'!H73)</f>
        <v>-2221.095942767296</v>
      </c>
      <c r="M14" s="16"/>
      <c r="N14" s="23">
        <f t="shared" si="0"/>
        <v>-32353.411673607265</v>
      </c>
      <c r="O14" s="22" t="s">
        <v>74</v>
      </c>
      <c r="P14" s="66" t="s">
        <v>75</v>
      </c>
      <c r="Q14" s="70"/>
      <c r="R14" s="70"/>
      <c r="S14" s="24">
        <f t="shared" si="1"/>
        <v>31278.513542144385</v>
      </c>
      <c r="T14" s="37"/>
      <c r="U14" s="61"/>
      <c r="V14" s="16"/>
      <c r="W14" s="16"/>
      <c r="X14" s="16">
        <f>-E16</f>
        <v>17882.79580668611</v>
      </c>
      <c r="Y14" s="16"/>
      <c r="Z14" s="16"/>
      <c r="AA14" s="16"/>
      <c r="AB14" s="16"/>
      <c r="AC14" s="16"/>
      <c r="AD14" s="16">
        <f>-K16</f>
        <v>11376.444442217577</v>
      </c>
      <c r="AE14" s="16">
        <f>-L16</f>
        <v>2019.2732932406984</v>
      </c>
      <c r="AF14" s="16"/>
      <c r="AG14" s="21">
        <f>-(N14+S14)</f>
        <v>1074.89813146288</v>
      </c>
      <c r="AH14" s="21"/>
    </row>
    <row r="15" spans="1:34" x14ac:dyDescent="0.35"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23">
        <f t="shared" si="0"/>
        <v>0</v>
      </c>
      <c r="O15" s="22" t="s">
        <v>76</v>
      </c>
      <c r="P15" s="67" t="s">
        <v>77</v>
      </c>
      <c r="Q15" s="66"/>
      <c r="R15" s="66"/>
      <c r="S15" s="24">
        <f t="shared" si="1"/>
        <v>242.47611175874752</v>
      </c>
      <c r="T15" s="37"/>
      <c r="U15" s="61"/>
      <c r="V15" s="14"/>
      <c r="W15" s="14"/>
      <c r="X15" s="14"/>
      <c r="Y15" s="14"/>
      <c r="Z15" s="14"/>
      <c r="AA15" s="14"/>
      <c r="AB15" s="14">
        <f>I16*-1</f>
        <v>242.47611175874752</v>
      </c>
      <c r="AC15" s="14"/>
      <c r="AD15" s="14"/>
      <c r="AE15" s="14"/>
      <c r="AF15" s="14"/>
      <c r="AG15" s="14"/>
      <c r="AH15" s="14"/>
    </row>
    <row r="16" spans="1:34" x14ac:dyDescent="0.35">
      <c r="C16" s="14">
        <f t="shared" ref="C16:M16" si="4">SUM(C17:C19)</f>
        <v>-1779.7629356084838</v>
      </c>
      <c r="D16" s="14">
        <f t="shared" si="4"/>
        <v>0</v>
      </c>
      <c r="E16" s="14">
        <f t="shared" si="4"/>
        <v>-17882.79580668611</v>
      </c>
      <c r="F16" s="14">
        <f t="shared" si="4"/>
        <v>-10888.236798610294</v>
      </c>
      <c r="G16" s="14">
        <f t="shared" si="4"/>
        <v>0</v>
      </c>
      <c r="H16" s="14">
        <f t="shared" si="4"/>
        <v>0</v>
      </c>
      <c r="I16" s="14">
        <f t="shared" si="4"/>
        <v>-242.47611175874752</v>
      </c>
      <c r="J16" s="14">
        <f t="shared" si="4"/>
        <v>-3884.9096761891165</v>
      </c>
      <c r="K16" s="14">
        <f t="shared" si="4"/>
        <v>-11376.444442217577</v>
      </c>
      <c r="L16" s="14">
        <f t="shared" si="4"/>
        <v>-2019.2732932406984</v>
      </c>
      <c r="M16" s="14">
        <f t="shared" si="4"/>
        <v>0</v>
      </c>
      <c r="N16" s="23">
        <f>' KF OECD Europe'!H5</f>
        <v>-48074.08064</v>
      </c>
      <c r="O16" s="10" t="s">
        <v>78</v>
      </c>
      <c r="P16" s="71" t="s">
        <v>79</v>
      </c>
      <c r="Q16" s="71"/>
      <c r="R16" s="71"/>
      <c r="S16" s="24">
        <f t="shared" si="1"/>
        <v>32742.492667456485</v>
      </c>
      <c r="T16" s="37"/>
      <c r="U16" s="61"/>
      <c r="V16" s="14"/>
      <c r="W16" s="14"/>
      <c r="X16" s="14"/>
      <c r="Y16" s="14"/>
      <c r="Z16" s="14"/>
      <c r="AA16" s="14"/>
      <c r="AB16" s="14"/>
      <c r="AC16" s="14"/>
      <c r="AD16" s="14"/>
      <c r="AE16" s="14"/>
      <c r="AF16" s="14">
        <f>SUM(AF17:AF19)</f>
        <v>32742.492667456485</v>
      </c>
      <c r="AG16" s="14">
        <f t="shared" ref="AG16:AH16" si="5">SUM(AG17:AG19)</f>
        <v>15331.406396854534</v>
      </c>
      <c r="AH16" s="14">
        <f t="shared" si="5"/>
        <v>2148.799457711737</v>
      </c>
    </row>
    <row r="17" spans="3:34" x14ac:dyDescent="0.35">
      <c r="C17" s="25">
        <f>AF17*' KF OECD Europe'!H15/T17*' KF OECD Europe'!H139/' KF OECD Europe'!H$139*-1</f>
        <v>-1162.282976</v>
      </c>
      <c r="D17" s="25">
        <f>AF17*' KF OECD Europe'!H16/T17*' KF OECD Europe'!H139/' KF OECD Europe'!H$139*-1</f>
        <v>0</v>
      </c>
      <c r="E17" s="25">
        <f>AF17*' KF OECD Europe'!H17/T17*' KF OECD Europe'!H139/' KF OECD Europe'!H$139*-1</f>
        <v>-1298.5344639999998</v>
      </c>
      <c r="F17" s="25">
        <f>AF17*' KF OECD Europe'!H18/T17*' KF OECD Europe'!H139/' KF OECD Europe'!H$139*-1</f>
        <v>-3820.6525120000001</v>
      </c>
      <c r="G17" s="25"/>
      <c r="H17" s="25"/>
      <c r="I17" s="25">
        <f>AF17*' KF OECD Europe'!H19/T17*' KF OECD Europe'!H142/' KF OECD Europe'!H$142*-1</f>
        <v>-14.278352</v>
      </c>
      <c r="J17" s="25">
        <f>AF17*' KF OECD Europe'!H20*' KF OECD Europe'!H139/T17/' KF OECD Europe'!H$139*-1</f>
        <v>-1187.2805599999999</v>
      </c>
      <c r="K17" s="25">
        <f>AF17*' KF OECD Europe'!H21*' KF OECD Europe'!H141/T17/' KF OECD Europe'!H$141*-1</f>
        <v>-4345.2249279999996</v>
      </c>
      <c r="L17" s="25">
        <f>AF17*' KF OECD Europe'!H22*' KF OECD Europe'!H142/T17/' KF OECD Europe'!H$142*-1</f>
        <v>-691.43233599999996</v>
      </c>
      <c r="M17" s="25"/>
      <c r="N17" s="23">
        <f>SUM(C17:L17)</f>
        <v>-12519.686127999999</v>
      </c>
      <c r="O17" s="6" t="s">
        <v>80</v>
      </c>
      <c r="P17" s="64" t="s">
        <v>81</v>
      </c>
      <c r="Q17" s="69" t="s">
        <v>79</v>
      </c>
      <c r="R17" s="69"/>
      <c r="S17" s="24">
        <f t="shared" si="1"/>
        <v>10808.674779200001</v>
      </c>
      <c r="T17" s="37">
        <f>(' KF OECD Europe'!H15+' KF OECD Europe'!H16+' KF OECD Europe'!H17+' KF OECD Europe'!H18+' KF OECD Europe'!H20)*' KF OECD Europe'!H139+(' KF OECD Europe'!H19+' KF OECD Europe'!H22)*' KF OECD Europe'!H142+' KF OECD Europe'!H21*' KF OECD Europe'!H141</f>
        <v>0.86333432553286138</v>
      </c>
      <c r="U17" s="61"/>
      <c r="V17" s="25"/>
      <c r="W17" s="25"/>
      <c r="X17" s="25"/>
      <c r="Y17" s="25"/>
      <c r="Z17" s="25"/>
      <c r="AA17" s="25"/>
      <c r="AB17" s="25"/>
      <c r="AC17" s="25"/>
      <c r="AD17" s="25"/>
      <c r="AE17" s="25"/>
      <c r="AF17" s="25">
        <f>' KF OECD Europe'!H5*' KF OECD Europe'!H7*((' KF OECD Europe'!G15+' KF OECD Europe'!G16+' KF OECD Europe'!G17+' KF OECD Europe'!G18+' KF OECD Europe'!G20)*' KF OECD Europe'!G139+(' KF OECD Europe'!G19+' KF OECD Europe'!G22)*' KF OECD Europe'!G142+' KF OECD Europe'!G21*' KF OECD Europe'!G141)*-1</f>
        <v>10808.674779200001</v>
      </c>
      <c r="AG17" s="25">
        <f>(S17+SUM(C17:M17))*-1</f>
        <v>1711.0113487999988</v>
      </c>
      <c r="AH17" s="29">
        <f>-(C17*Emissionsfaktorer!$B$2+D17*Emissionsfaktorer!$B$3+E17*Emissionsfaktorer!$B$4+F17*Emissionsfaktorer!$B$5+G17*Emissionsfaktorer!$B$6+H17*Emissionsfaktorer!$B$7+I17*Emissionsfaktorer!$B$8+J17*Emissionsfaktorer!$B$9+K17*Emissionsfaktorer!$B$10+L17*Emissionsfaktorer!$B$11+M17*Emissionsfaktorer!$B$12)</f>
        <v>426.88269516800005</v>
      </c>
    </row>
    <row r="18" spans="3:34" x14ac:dyDescent="0.35">
      <c r="C18" s="25">
        <f>AF18*' KF OECD Europe'!H24/T18*' KF OECD Europe'!H140/' KF OECD Europe'!H$140*-1</f>
        <v>-0.50246399999999991</v>
      </c>
      <c r="D18" s="25"/>
      <c r="E18" s="25">
        <f>AF18*' KF OECD Europe'!H25/T18*' KF OECD Europe'!H140/' KF OECD Europe'!H$140*-1</f>
        <v>-13712.619407999999</v>
      </c>
      <c r="F18" s="25">
        <f>AF18*' KF OECD Europe'!H26/T18*' KF OECD Europe'!H140/' KF OECD Europe'!H$140*-1</f>
        <v>-165.22691199999997</v>
      </c>
      <c r="G18" s="25"/>
      <c r="H18" s="25"/>
      <c r="I18" s="25">
        <f>AF18*' KF OECD Europe'!H27/T18*' KF OECD Europe'!H142/' KF OECD Europe'!H$142*-1</f>
        <v>0</v>
      </c>
      <c r="J18" s="25">
        <f>AF18*' KF OECD Europe'!H28/T18*' KF OECD Europe'!H140/' KF OECD Europe'!H$140*-1</f>
        <v>-713.03828799999985</v>
      </c>
      <c r="K18" s="25">
        <f>AF18*' KF OECD Europe'!H29/T18*' KF OECD Europe'!H141/' KF OECD Europe'!H$141*-1</f>
        <v>-243.90439999999998</v>
      </c>
      <c r="L18" s="25">
        <f>AF18*' KF OECD Europe'!H30/T18*' KF OECD Europe'!H142/' KF OECD Europe'!H$142*-1</f>
        <v>0</v>
      </c>
      <c r="M18" s="25"/>
      <c r="N18" s="23">
        <f>SUM(C18:L18)</f>
        <v>-14835.291471999997</v>
      </c>
      <c r="O18" s="6" t="s">
        <v>82</v>
      </c>
      <c r="P18" s="64" t="s">
        <v>83</v>
      </c>
      <c r="Q18" s="69" t="s">
        <v>79</v>
      </c>
      <c r="R18" s="69"/>
      <c r="S18" s="24">
        <f t="shared" si="1"/>
        <v>4609.1253015999991</v>
      </c>
      <c r="T18" s="37">
        <f>(' KF OECD Europe'!H24+' KF OECD Europe'!H25+' KF OECD Europe'!H26+' KF OECD Europe'!H28)*' KF OECD Europe'!H140+(' KF OECD Europe'!H27+' KF OECD Europe'!H30)*' KF OECD Europe'!H142+' KF OECD Europe'!H29*' KF OECD Europe'!H141</f>
        <v>0.31068653489547021</v>
      </c>
      <c r="U18" s="61"/>
      <c r="V18" s="25"/>
      <c r="W18" s="25"/>
      <c r="X18" s="25"/>
      <c r="Y18" s="25"/>
      <c r="Z18" s="25"/>
      <c r="AA18" s="25"/>
      <c r="AB18" s="25"/>
      <c r="AC18" s="25"/>
      <c r="AD18" s="25"/>
      <c r="AE18" s="25"/>
      <c r="AF18" s="25">
        <f>' KF OECD Europe'!H5*' KF OECD Europe'!H8*-1*((' KF OECD Europe'!G24+' KF OECD Europe'!G25+' KF OECD Europe'!G26+' KF OECD Europe'!G28)*' KF OECD Europe'!G140+(' KF OECD Europe'!G27+' KF OECD Europe'!G30)*' KF OECD Europe'!G142+' KF OECD Europe'!G29*' KF OECD Europe'!G141)</f>
        <v>4609.1253015999991</v>
      </c>
      <c r="AG18" s="25">
        <f>(S18+SUM(C18:M18))*-1</f>
        <v>10226.166170399998</v>
      </c>
      <c r="AH18" s="29">
        <f>-(C18*Emissionsfaktorer!$B$2+D18*Emissionsfaktorer!$B$3+E18*Emissionsfaktorer!$B$4+F18*Emissionsfaktorer!$B$5+G18*Emissionsfaktorer!$B$6+H18*Emissionsfaktorer!$B$7+I18*Emissionsfaktorer!$B$8+J18*Emissionsfaktorer!$B$9+K18*Emissionsfaktorer!$B$10+L18*Emissionsfaktorer!$B$11+M18*Emissionsfaktorer!$B$12)</f>
        <v>1051.624743072</v>
      </c>
    </row>
    <row r="19" spans="3:34" x14ac:dyDescent="0.35">
      <c r="C19" s="25">
        <f>SUM(C20:C24)</f>
        <v>-616.97749560848388</v>
      </c>
      <c r="D19" s="25">
        <f t="shared" ref="D19:M19" si="6">SUM(D20:D24)</f>
        <v>0</v>
      </c>
      <c r="E19" s="25">
        <f t="shared" si="6"/>
        <v>-2871.6419346861094</v>
      </c>
      <c r="F19" s="25">
        <f t="shared" si="6"/>
        <v>-6902.3573746102938</v>
      </c>
      <c r="G19" s="25">
        <f t="shared" si="6"/>
        <v>0</v>
      </c>
      <c r="H19" s="25">
        <f t="shared" si="6"/>
        <v>0</v>
      </c>
      <c r="I19" s="25">
        <f t="shared" si="6"/>
        <v>-228.19775975874751</v>
      </c>
      <c r="J19" s="25">
        <f t="shared" si="6"/>
        <v>-1984.5908281891166</v>
      </c>
      <c r="K19" s="25">
        <f t="shared" si="6"/>
        <v>-6787.3151142175775</v>
      </c>
      <c r="L19" s="25">
        <f t="shared" si="6"/>
        <v>-1327.8409572406986</v>
      </c>
      <c r="M19" s="25">
        <f t="shared" si="6"/>
        <v>0</v>
      </c>
      <c r="N19" s="23">
        <f>SUM(N20:N24)</f>
        <v>-20718.921464311024</v>
      </c>
      <c r="O19" s="6" t="s">
        <v>84</v>
      </c>
      <c r="P19" s="64" t="s">
        <v>85</v>
      </c>
      <c r="Q19" s="69" t="s">
        <v>79</v>
      </c>
      <c r="R19" s="69"/>
      <c r="S19" s="24">
        <f t="shared" si="1"/>
        <v>17324.692586656485</v>
      </c>
      <c r="T19" s="37">
        <v>0.8</v>
      </c>
      <c r="U19" s="61"/>
      <c r="V19" s="25">
        <f>SUM(V20:V24)</f>
        <v>0</v>
      </c>
      <c r="W19" s="25">
        <f t="shared" ref="W19:AH19" si="7">SUM(W20:W24)</f>
        <v>0</v>
      </c>
      <c r="X19" s="25">
        <f t="shared" si="7"/>
        <v>0</v>
      </c>
      <c r="Y19" s="25">
        <f t="shared" si="7"/>
        <v>0</v>
      </c>
      <c r="Z19" s="25">
        <f t="shared" si="7"/>
        <v>0</v>
      </c>
      <c r="AA19" s="25">
        <f t="shared" si="7"/>
        <v>0</v>
      </c>
      <c r="AB19" s="25">
        <f t="shared" si="7"/>
        <v>0</v>
      </c>
      <c r="AC19" s="25">
        <f t="shared" si="7"/>
        <v>0</v>
      </c>
      <c r="AD19" s="25">
        <f t="shared" si="7"/>
        <v>0</v>
      </c>
      <c r="AE19" s="25">
        <f t="shared" si="7"/>
        <v>0</v>
      </c>
      <c r="AF19" s="25">
        <f t="shared" si="7"/>
        <v>17324.692586656485</v>
      </c>
      <c r="AG19" s="25">
        <f t="shared" si="7"/>
        <v>3394.228877654537</v>
      </c>
      <c r="AH19" s="25">
        <f t="shared" si="7"/>
        <v>670.29201947173692</v>
      </c>
    </row>
    <row r="20" spans="3:34" x14ac:dyDescent="0.35">
      <c r="C20" s="92">
        <f>AF20*' KF OECD Europe'!H$32/T20*' KF OECD Europe'!H$139/' KF OECD Europe'!H$139*-1</f>
        <v>-447.86307849978016</v>
      </c>
      <c r="D20" s="92"/>
      <c r="E20" s="92">
        <f>AF20*' KF OECD Europe'!H33/T20*' KF OECD Europe'!H$140/' KF OECD Europe'!H$140*-1</f>
        <v>-1335.0892163393314</v>
      </c>
      <c r="F20" s="92">
        <f>AF20*' KF OECD Europe'!H$34/T20*' KF OECD Europe'!H$140/' KF OECD Europe'!H$140*-1</f>
        <v>-4653.8232981282308</v>
      </c>
      <c r="G20" s="92"/>
      <c r="H20" s="92"/>
      <c r="I20" s="92">
        <f>AF20*' KF OECD Europe'!H$35/T20*' KF OECD Europe'!H$142/' KF OECD Europe'!H$142*-1</f>
        <v>-169.07919885771432</v>
      </c>
      <c r="J20" s="92">
        <f>AF20*' KF OECD Europe'!H$36/T20*' KF OECD Europe'!H$140/' KF OECD Europe'!H$140*-1</f>
        <v>-1685.1392664756588</v>
      </c>
      <c r="K20" s="92">
        <f>AF20*' KF OECD Europe'!H$37/T20*' KF OECD Europe'!H$141/' KF OECD Europe'!H$141*-1</f>
        <v>-3215.1427152772635</v>
      </c>
      <c r="L20" s="92">
        <f>AF20*' KF OECD Europe'!H$38/T20*' KF OECD Europe'!H$142/' KF OECD Europe'!H$142*-1</f>
        <v>-879.94040713097218</v>
      </c>
      <c r="M20" s="92"/>
      <c r="N20" s="23">
        <f>SUM(C20:L20)</f>
        <v>-12386.077180708951</v>
      </c>
      <c r="O20" s="84" t="s">
        <v>86</v>
      </c>
      <c r="P20" s="85" t="s">
        <v>87</v>
      </c>
      <c r="Q20" s="86" t="s">
        <v>85</v>
      </c>
      <c r="R20" s="86"/>
      <c r="S20" s="24">
        <f t="shared" si="1"/>
        <v>10600.93707305649</v>
      </c>
      <c r="T20" s="37">
        <f>(' KF OECD Europe'!H32+' KF OECD Europe'!H33+' KF OECD Europe'!H34+' KF OECD Europe'!H36)*' KF OECD Europe'!H139+(' KF OECD Europe'!H35+' KF OECD Europe'!H38)*' KF OECD Europe'!H142+' KF OECD Europe'!H37*' KF OECD Europe'!H141</f>
        <v>0.85587526368455225</v>
      </c>
      <c r="U20" s="61"/>
      <c r="V20" s="92"/>
      <c r="W20" s="92"/>
      <c r="X20" s="92"/>
      <c r="Y20" s="92"/>
      <c r="Z20" s="92"/>
      <c r="AA20" s="92"/>
      <c r="AB20" s="92"/>
      <c r="AC20" s="92"/>
      <c r="AD20" s="92"/>
      <c r="AE20" s="92"/>
      <c r="AF20" s="92">
        <f>' KF OECD Europe'!H5*' KF OECD Europe'!H9*((' KF OECD Europe'!G32+' KF OECD Europe'!G33+' KF OECD Europe'!G34+' KF OECD Europe'!G36)*' KF OECD Europe'!G139+(' KF OECD Europe'!G35+' KF OECD Europe'!G38)*' KF OECD Europe'!G142+' KF OECD Europe'!G37*' KF OECD Europe'!G141)*-1</f>
        <v>10600.93707305649</v>
      </c>
      <c r="AG20" s="92">
        <f>(N20+AF20)*-1</f>
        <v>1785.1401076524617</v>
      </c>
      <c r="AH20" s="87">
        <f>-(C20*Emissionsfaktorer!$B$2+D20*Emissionsfaktorer!$B$3+E20*Emissionsfaktorer!$B$4+F20*Emissionsfaktorer!$B$5+G20*Emissionsfaktorer!$B$6+H20*Emissionsfaktorer!$B$7+I20*Emissionsfaktorer!$B$8+J20*Emissionsfaktorer!$B$9+K20*Emissionsfaktorer!$B$10+L20*Emissionsfaktorer!$B$11+M20*Emissionsfaktorer!$B$12)</f>
        <v>409.28170089257748</v>
      </c>
    </row>
    <row r="21" spans="3:34" x14ac:dyDescent="0.35">
      <c r="C21" s="92">
        <f>AF21*' KF OECD Europe'!H$40/T21*' KF OECD Europe'!H$139/' KF OECD Europe'!H$139*-1</f>
        <v>-119.66938104337669</v>
      </c>
      <c r="D21" s="92"/>
      <c r="E21" s="92">
        <f>AF21*' KF OECD Europe'!H41/T21*' KF OECD Europe'!H$140/' KF OECD Europe'!H$140*-1</f>
        <v>-614.92810706893988</v>
      </c>
      <c r="F21" s="92">
        <f>AF21*' KF OECD Europe'!H$42/T21*' KF OECD Europe'!H$140/' KF OECD Europe'!H$140*-1</f>
        <v>-2054.1010587281071</v>
      </c>
      <c r="G21" s="92"/>
      <c r="H21" s="92"/>
      <c r="I21" s="92">
        <f>AF21*' KF OECD Europe'!H$43/T21*' KF OECD Europe'!H$142/' KF OECD Europe'!H$142*-1</f>
        <v>-22.694473241955972</v>
      </c>
      <c r="J21" s="92">
        <f>AF21*' KF OECD Europe'!H$44/T21*' KF OECD Europe'!H$140/' KF OECD Europe'!H$140*-1</f>
        <v>-181.22081216085877</v>
      </c>
      <c r="K21" s="92">
        <f>AF21*' KF OECD Europe'!H$45/T21*' KF OECD Europe'!H$141/' KF OECD Europe'!H$141*-1</f>
        <v>-3322.3536418011786</v>
      </c>
      <c r="L21" s="92">
        <f>AF21*' KF OECD Europe'!H$46/T21*' KF OECD Europe'!H$142/' KF OECD Europe'!H$142*-1</f>
        <v>-433.20483424589759</v>
      </c>
      <c r="M21" s="92"/>
      <c r="N21" s="23">
        <f t="shared" ref="N21:N24" si="8">SUM(C21:L21)</f>
        <v>-6748.1723082903145</v>
      </c>
      <c r="O21" s="84" t="s">
        <v>88</v>
      </c>
      <c r="P21" s="85" t="s">
        <v>89</v>
      </c>
      <c r="Q21" s="86" t="s">
        <v>85</v>
      </c>
      <c r="R21" s="86"/>
      <c r="S21" s="24">
        <f t="shared" si="1"/>
        <v>5988.0707543999997</v>
      </c>
      <c r="T21" s="37">
        <f>(' KF OECD Europe'!H40+' KF OECD Europe'!H41+' KF OECD Europe'!H42+' KF OECD Europe'!H44)*' KF OECD Europe'!H139+(' KF OECD Europe'!H43+' KF OECD Europe'!H46)*' KF OECD Europe'!H142+' KF OECD Europe'!H45*' KF OECD Europe'!H141</f>
        <v>0.88736186345501156</v>
      </c>
      <c r="U21" s="61"/>
      <c r="V21" s="92"/>
      <c r="W21" s="92"/>
      <c r="X21" s="92"/>
      <c r="Y21" s="92"/>
      <c r="Z21" s="92"/>
      <c r="AA21" s="92"/>
      <c r="AB21" s="92"/>
      <c r="AC21" s="92"/>
      <c r="AD21" s="92"/>
      <c r="AE21" s="92"/>
      <c r="AF21" s="92">
        <f>' KF OECD Europe'!H5*' KF OECD Europe'!H10*((' KF OECD Europe'!G40+' KF OECD Europe'!G41+' KF OECD Europe'!G42+' KF OECD Europe'!G44)*' KF OECD Europe'!G139+(' KF OECD Europe'!G43+' KF OECD Europe'!G46)*' KF OECD Europe'!G142+' KF OECD Europe'!G45*' KF OECD Europe'!G141)*-1</f>
        <v>5988.0707543999997</v>
      </c>
      <c r="AG21" s="92">
        <f t="shared" ref="AG21:AG24" si="9">(N21+AF21)*-1</f>
        <v>760.10155389031479</v>
      </c>
      <c r="AH21" s="87">
        <f>-(C21*Emissionsfaktorer!$B$2+D21*Emissionsfaktorer!$B$3+E21*Emissionsfaktorer!$B$4+F21*Emissionsfaktorer!$B$5+G21*Emissionsfaktorer!$B$6+H21*Emissionsfaktorer!$B$7+I21*Emissionsfaktorer!$B$8+J21*Emissionsfaktorer!$B$9+K21*Emissionsfaktorer!$B$10+L21*Emissionsfaktorer!$B$11+M21*Emissionsfaktorer!$B$12)</f>
        <v>175.18688768386232</v>
      </c>
    </row>
    <row r="22" spans="3:34" x14ac:dyDescent="0.35">
      <c r="C22" s="92">
        <f>AF22*' KF OECD Europe'!H$48/T22*' KF OECD Europe'!H$139/' KF OECD Europe'!H$139*-1</f>
        <v>-43.122364065327012</v>
      </c>
      <c r="D22" s="92"/>
      <c r="E22" s="92">
        <f>AF22*' KF OECD Europe'!H49/T22*' KF OECD Europe'!H$140/' KF OECD Europe'!H$140*-1</f>
        <v>-771.72285127783778</v>
      </c>
      <c r="F22" s="92">
        <f>AF22*' KF OECD Europe'!H$50/T22*' KF OECD Europe'!H$140/' KF OECD Europe'!H$140*-1</f>
        <v>-152.89599375395559</v>
      </c>
      <c r="G22" s="92"/>
      <c r="H22" s="92"/>
      <c r="I22" s="92">
        <f>AF22*' KF OECD Europe'!H$51/T22*' KF OECD Europe'!H$142/' KF OECD Europe'!H$142*-1</f>
        <v>-33.869895659077244</v>
      </c>
      <c r="J22" s="92">
        <f>AF22*' KF OECD Europe'!H$52/T22*' KF OECD Europe'!H$140/' KF OECD Europe'!H$140*-1</f>
        <v>-117.39330955259898</v>
      </c>
      <c r="K22" s="92">
        <f>AF22*' KF OECD Europe'!H$53/T22*' KF OECD Europe'!H$141/' KF OECD Europe'!H$141*-1</f>
        <v>-234.11675713913479</v>
      </c>
      <c r="L22" s="92">
        <f>AF22*' KF OECD Europe'!H$54/T22*' KF OECD Europe'!H$142/' KF OECD Europe'!H$142*-1</f>
        <v>-10.089795863828943</v>
      </c>
      <c r="M22" s="92"/>
      <c r="N22" s="23">
        <f t="shared" si="8"/>
        <v>-1363.2109673117602</v>
      </c>
      <c r="O22" s="84" t="s">
        <v>90</v>
      </c>
      <c r="P22" s="85" t="s">
        <v>91</v>
      </c>
      <c r="Q22" s="86" t="s">
        <v>85</v>
      </c>
      <c r="R22" s="86"/>
      <c r="S22" s="24">
        <f t="shared" si="1"/>
        <v>591.91096640000001</v>
      </c>
      <c r="T22" s="37">
        <f>(' KF OECD Europe'!H48+' KF OECD Europe'!H49+' KF OECD Europe'!H50+' KF OECD Europe'!H52)*' KF OECD Europe'!H140+(' KF OECD Europe'!H51+' KF OECD Europe'!H54)*' KF OECD Europe'!H142+' KF OECD Europe'!H53*' KF OECD Europe'!H141</f>
        <v>0.43420349497865551</v>
      </c>
      <c r="U22" s="61"/>
      <c r="V22" s="92"/>
      <c r="W22" s="92"/>
      <c r="X22" s="92"/>
      <c r="Y22" s="92"/>
      <c r="Z22" s="92"/>
      <c r="AA22" s="92"/>
      <c r="AB22" s="92"/>
      <c r="AC22" s="92"/>
      <c r="AD22" s="92"/>
      <c r="AE22" s="92"/>
      <c r="AF22" s="92">
        <f>((' KF OECD Europe'!G48+' KF OECD Europe'!G49+' KF OECD Europe'!G50+' KF OECD Europe'!G52)*' KF OECD Europe'!G140+(' KF OECD Europe'!G51+' KF OECD Europe'!G54)*' KF OECD Europe'!G142+' KF OECD Europe'!G53*' KF OECD Europe'!G141)*' KF OECD Europe'!H11*' KF OECD Europe'!H5*-1</f>
        <v>591.91096640000001</v>
      </c>
      <c r="AG22" s="92">
        <f t="shared" si="9"/>
        <v>771.30000091176021</v>
      </c>
      <c r="AH22" s="87">
        <f>-(C22*Emissionsfaktorer!$B$2+D22*Emissionsfaktorer!$B$3+E22*Emissionsfaktorer!$B$4+F22*Emissionsfaktorer!$B$5+G22*Emissionsfaktorer!$B$6+H22*Emissionsfaktorer!$B$7+I22*Emissionsfaktorer!$B$8+J22*Emissionsfaktorer!$B$9+K22*Emissionsfaktorer!$B$10+L22*Emissionsfaktorer!$B$11+M22*Emissionsfaktorer!$B$12)</f>
        <v>71.462632927297207</v>
      </c>
    </row>
    <row r="23" spans="3:34" x14ac:dyDescent="0.35">
      <c r="C23" s="92">
        <f>AF23*' KF OECD Europe'!H$56/T23*' KF OECD Europe'!H$139/' KF OECD Europe'!H$139*-1</f>
        <v>0</v>
      </c>
      <c r="D23" s="92"/>
      <c r="E23" s="92">
        <f>AF23*' KF OECD Europe'!H57/T23*' KF OECD Europe'!H$140/' KF OECD Europe'!H$140*-1</f>
        <v>-71.810480000000013</v>
      </c>
      <c r="F23" s="92">
        <f>AF23*' KF OECD Europe'!H$58/T23*' KF OECD Europe'!H$140/' KF OECD Europe'!H$140*-1</f>
        <v>-1.8004960000000001</v>
      </c>
      <c r="G23" s="92"/>
      <c r="H23" s="92"/>
      <c r="I23" s="92">
        <f>AF23*' KF OECD Europe'!H$59/T23*' KF OECD Europe'!H$142/' KF OECD Europe'!H$142*-1</f>
        <v>-2.3029600000000001</v>
      </c>
      <c r="J23" s="92">
        <f>AF23*' KF OECD Europe'!H$60/T23*' KF OECD Europe'!H$140/' KF OECD Europe'!H$140*-1</f>
        <v>-0.75369600000000003</v>
      </c>
      <c r="K23" s="92">
        <f>AF23*' KF OECD Europe'!H$61/T23*' KF OECD Europe'!H$141/' KF OECD Europe'!H$141*-1</f>
        <v>-7.9556799999999939</v>
      </c>
      <c r="L23" s="92">
        <f>AF23*' KF OECD Europe'!H$62/T23*' KF OECD Europe'!H$142/' KF OECD Europe'!H$142*-1</f>
        <v>-1.7167520000000001</v>
      </c>
      <c r="M23" s="92"/>
      <c r="N23" s="23">
        <f t="shared" si="8"/>
        <v>-86.340063999999998</v>
      </c>
      <c r="O23" s="84" t="s">
        <v>92</v>
      </c>
      <c r="P23" s="85" t="s">
        <v>93</v>
      </c>
      <c r="Q23" s="86" t="s">
        <v>85</v>
      </c>
      <c r="R23" s="86"/>
      <c r="S23" s="24">
        <f t="shared" si="1"/>
        <v>33.887009599999992</v>
      </c>
      <c r="T23" s="37">
        <f>(' KF OECD Europe'!H56+' KF OECD Europe'!H57+' KF OECD Europe'!H58+' KF OECD Europe'!H60)*' KF OECD Europe'!H140+(' KF OECD Europe'!H59+' KF OECD Europe'!H62)*' KF OECD Europe'!H142+' KF OECD Europe'!H61*' KF OECD Europe'!H141</f>
        <v>0.39248302618816672</v>
      </c>
      <c r="U23" s="61"/>
      <c r="V23" s="92"/>
      <c r="W23" s="92"/>
      <c r="X23" s="92"/>
      <c r="Y23" s="92"/>
      <c r="Z23" s="92"/>
      <c r="AA23" s="92"/>
      <c r="AB23" s="92"/>
      <c r="AC23" s="92"/>
      <c r="AD23" s="92"/>
      <c r="AE23" s="92"/>
      <c r="AF23" s="92">
        <f>((' KF OECD Europe'!G56+' KF OECD Europe'!G57+' KF OECD Europe'!G58+' KF OECD Europe'!G60)*' KF OECD Europe'!G140+(' KF OECD Europe'!G59+' KF OECD Europe'!G62)*' KF OECD Europe'!G142+' KF OECD Europe'!G61*' KF OECD Europe'!G141)*' KF OECD Europe'!H5*' KF OECD Europe'!H12*-1</f>
        <v>33.887009599999992</v>
      </c>
      <c r="AG23" s="92">
        <f t="shared" si="9"/>
        <v>52.453054400000006</v>
      </c>
      <c r="AH23" s="87">
        <f>-(C23*Emissionsfaktorer!$B$2+D23*Emissionsfaktorer!$B$3+E23*Emissionsfaktorer!$B$4+F23*Emissionsfaktorer!$B$5+G23*Emissionsfaktorer!$B$6+H23*Emissionsfaktorer!$B$7+I23*Emissionsfaktorer!$B$8+J23*Emissionsfaktorer!$B$9+K23*Emissionsfaktorer!$B$10+L23*Emissionsfaktorer!$B$11+M23*Emissionsfaktorer!$B$12)</f>
        <v>5.5602247520000008</v>
      </c>
    </row>
    <row r="24" spans="3:34" x14ac:dyDescent="0.35">
      <c r="C24" s="92">
        <f>AF24*' KF OECD Europe'!H$64/T24*' KF OECD Europe'!H$139/' KF OECD Europe'!H$139*-1</f>
        <v>-6.3226719999999998</v>
      </c>
      <c r="D24" s="92"/>
      <c r="E24" s="92">
        <f>AF24*' KF OECD Europe'!H65/T24*' KF OECD Europe'!H$140/' KF OECD Europe'!H$140*-1</f>
        <v>-78.091279999999998</v>
      </c>
      <c r="F24" s="92">
        <f>AF24*' KF OECD Europe'!H$66/T24*' KF OECD Europe'!H$140/' KF OECD Europe'!H$140*-1</f>
        <v>-39.736528</v>
      </c>
      <c r="G24" s="92"/>
      <c r="H24" s="92"/>
      <c r="I24" s="92">
        <f>AF24*' KF OECD Europe'!H$67/T24*' KF OECD Europe'!H$142/' KF OECD Europe'!H$142*-1</f>
        <v>-0.25123200000000001</v>
      </c>
      <c r="J24" s="92">
        <f>AF24*' KF OECD Europe'!H$68/T24*' KF OECD Europe'!H$140/' KF OECD Europe'!H$140*-1</f>
        <v>-8.3744000000000013E-2</v>
      </c>
      <c r="K24" s="92">
        <f>AF24*' KF OECD Europe'!H$69/T24*' KF OECD Europe'!H$141/' KF OECD Europe'!H$141*-1</f>
        <v>-7.7463200000000052</v>
      </c>
      <c r="L24" s="92">
        <f>AF24*' KF OECD Europe'!H$70/T24*' KF OECD Europe'!H$142/' KF OECD Europe'!H$142*-1</f>
        <v>-2.8891679999999997</v>
      </c>
      <c r="M24" s="92"/>
      <c r="N24" s="23">
        <f t="shared" si="8"/>
        <v>-135.12094400000001</v>
      </c>
      <c r="O24" s="84" t="s">
        <v>94</v>
      </c>
      <c r="P24" s="85" t="s">
        <v>95</v>
      </c>
      <c r="Q24" s="86" t="s">
        <v>85</v>
      </c>
      <c r="R24" s="86"/>
      <c r="S24" s="24">
        <f t="shared" si="1"/>
        <v>109.88678320000001</v>
      </c>
      <c r="T24" s="37">
        <f>(' KF OECD Europe'!H64+' KF OECD Europe'!H65+' KF OECD Europe'!H66+' KF OECD Europe'!H68)*' KF OECD Europe'!H139+(' KF OECD Europe'!H67+' KF OECD Europe'!H70)*' KF OECD Europe'!H142+' KF OECD Europe'!H69*' KF OECD Europe'!H141</f>
        <v>0.81324759838859628</v>
      </c>
      <c r="U24" s="61"/>
      <c r="V24" s="92"/>
      <c r="W24" s="92"/>
      <c r="X24" s="92"/>
      <c r="Y24" s="92"/>
      <c r="Z24" s="92"/>
      <c r="AA24" s="92"/>
      <c r="AB24" s="92"/>
      <c r="AC24" s="92"/>
      <c r="AD24" s="92"/>
      <c r="AE24" s="92"/>
      <c r="AF24" s="92">
        <f>((' KF OECD Europe'!G64+' KF OECD Europe'!G65+' KF OECD Europe'!G66+' KF OECD Europe'!G68)*' KF OECD Europe'!G139+(' KF OECD Europe'!G67+' KF OECD Europe'!G70)*' KF OECD Europe'!G142+' KF OECD Europe'!G69*' KF OECD Europe'!G141)*' KF OECD Europe'!H5*' KF OECD Europe'!H13*-1</f>
        <v>109.88678320000001</v>
      </c>
      <c r="AG24" s="92">
        <f t="shared" si="9"/>
        <v>25.234160799999998</v>
      </c>
      <c r="AH24" s="87">
        <f>-(C24*Emissionsfaktorer!$B$2+D24*Emissionsfaktorer!$B$3+E24*Emissionsfaktorer!$B$4+F24*Emissionsfaktorer!$B$5+G24*Emissionsfaktorer!$B$6+H24*Emissionsfaktorer!$B$7+I24*Emissionsfaktorer!$B$8+J24*Emissionsfaktorer!$B$9+K24*Emissionsfaktorer!$B$10+L24*Emissionsfaktorer!$B$11+M24*Emissionsfaktorer!$B$12)</f>
        <v>8.8005732160000001</v>
      </c>
    </row>
    <row r="25" spans="3:34" x14ac:dyDescent="0.35"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23">
        <f>N16</f>
        <v>-48074.08064</v>
      </c>
      <c r="O25" s="10" t="s">
        <v>11</v>
      </c>
      <c r="P25" s="71" t="s">
        <v>96</v>
      </c>
      <c r="Q25" s="71"/>
      <c r="R25" s="71"/>
      <c r="S25" s="24">
        <f t="shared" si="1"/>
        <v>32742.492667456485</v>
      </c>
      <c r="T25" s="37">
        <f>AF25/N25*-1</f>
        <v>0.68108411500672816</v>
      </c>
      <c r="U25" s="61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>
        <f>AF16</f>
        <v>32742.492667456485</v>
      </c>
      <c r="AG25" s="14">
        <f>-(S25+N25)</f>
        <v>15331.587972543515</v>
      </c>
      <c r="AH25" s="14"/>
    </row>
    <row r="28" spans="3:34" x14ac:dyDescent="0.35">
      <c r="X28" s="95"/>
    </row>
    <row r="29" spans="3:34" x14ac:dyDescent="0.35">
      <c r="X29" s="95"/>
    </row>
    <row r="30" spans="3:34" x14ac:dyDescent="0.35">
      <c r="X30" s="95"/>
    </row>
  </sheetData>
  <pageMargins left="0.7" right="0.7" top="0.75" bottom="0.75" header="0.3" footer="0.3"/>
  <pageSetup paperSize="9" orientation="portrait" horizontalDpi="4294967293" verticalDpi="4294967293"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 codeName="Ark62">
    <tabColor theme="9" tint="-0.499984740745262"/>
  </sheetPr>
  <dimension ref="A1:K142"/>
  <sheetViews>
    <sheetView zoomScale="89" zoomScaleNormal="89" workbookViewId="0">
      <pane ySplit="1" topLeftCell="A2" activePane="bottomLeft" state="frozen"/>
      <selection pane="bottomLeft" activeCell="M126" sqref="M126"/>
    </sheetView>
  </sheetViews>
  <sheetFormatPr defaultRowHeight="14.5" x14ac:dyDescent="0.35"/>
  <cols>
    <col min="1" max="1" width="70" customWidth="1"/>
    <col min="2" max="2" width="9.7265625" customWidth="1"/>
    <col min="10" max="10" width="15.26953125" customWidth="1"/>
    <col min="11" max="11" width="13.7265625" customWidth="1"/>
  </cols>
  <sheetData>
    <row r="1" spans="1:11" ht="15" customHeight="1" x14ac:dyDescent="0.35">
      <c r="A1" t="s">
        <v>128</v>
      </c>
      <c r="B1" s="76">
        <f>(('OECD Europe 1995'!$B12+'OECD Europe 1995'!$B13+'OECD Europe 1995'!$B14+'OECD Europe 1995'!$B20-'OECD Europe 1995'!$B22+'OECD Europe 1995'!$B30)*Emissionsfaktorer!$B2*-1+('OECD Europe 1995'!$D22-'OECD Europe 1995'!$D30-'OECD Europe 1995'!$D12-'OECD Europe 1995'!$D13-'OECD Europe 1995'!$D14-'OECD Europe 1995'!$D20)*Emissionsfaktorer!$B4+('OECD Europe 1995'!$E12+'OECD Europe 1995'!$E13+'OECD Europe 1995'!$E14+'OECD Europe 1995'!$E20-'OECD Europe 1995'!$E22+'OECD Europe 1995'!$E30)*Emissionsfaktorer!$B5*-1)*0.041872</f>
        <v>3796.2699020640002</v>
      </c>
      <c r="C1" s="76">
        <f>(('OECD Europe 2000'!$B12+'OECD Europe 2000'!$B13+'OECD Europe 2000'!$B14+'OECD Europe 2000'!$B20-'OECD Europe 2000'!$B22+'OECD Europe 2000'!$B30)*Emissionsfaktorer!$B2*-1+('OECD Europe 2000'!$D22-'OECD Europe 2000'!$D30-'OECD Europe 2000'!$D12-'OECD Europe 2000'!$D13-'OECD Europe 2000'!$D14-'OECD Europe 2000'!$D20)*Emissionsfaktorer!$B4+('OECD Europe 2000'!$E12+'OECD Europe 2000'!$E13+'OECD Europe 2000'!$E14+'OECD Europe 2000'!$E20-'OECD Europe 2000'!$E22+'OECD Europe 2000'!$E30)*Emissionsfaktorer!$B5*-1)*0.041872</f>
        <v>3866.668123248</v>
      </c>
      <c r="D1" s="76">
        <f>(('OECD Europe 2005'!$B12+'OECD Europe 2005'!$B13+'OECD Europe 2005'!$B14+'OECD Europe 2005'!$B20-'OECD Europe 2005'!$B22+'OECD Europe 2005'!$B30)*Emissionsfaktorer!$B2*-1+('OECD Europe 2005'!$D22-'OECD Europe 2005'!$D30-'OECD Europe 2005'!$D12-'OECD Europe 2005'!$D13-'OECD Europe 2005'!$D14-'OECD Europe 2005'!$D20)*Emissionsfaktorer!$B4+('OECD Europe 2005'!$E12+'OECD Europe 2005'!$E13+'OECD Europe 2005'!$E14+'OECD Europe 2005'!$E20-'OECD Europe 2005'!$E22+'OECD Europe 2005'!$E30)*Emissionsfaktorer!$B5*-1)*0.041872</f>
        <v>4007.1431561439999</v>
      </c>
      <c r="E1" s="76">
        <f>(('OECD Europe 2010'!$B12+'OECD Europe 2010'!$B13+'OECD Europe 2010'!$B14+'OECD Europe 2010'!$B20-'OECD Europe 2010'!$B22+'OECD Europe 2010'!$B30)*Emissionsfaktorer!$B2*-1+('OECD Europe 2010'!$D22-'OECD Europe 2010'!$D30-'OECD Europe 2010'!$D12-'OECD Europe 2010'!$D13-'OECD Europe 2010'!$D14-'OECD Europe 2010'!$D20)*Emissionsfaktorer!$B4+('OECD Europe 2010'!$E12+'OECD Europe 2010'!$E13+'OECD Europe 2010'!$E14+'OECD Europe 2010'!$E20-'OECD Europe 2010'!$E22+'OECD Europe 2010'!$E30)*Emissionsfaktorer!$B5*-1)*0.041872</f>
        <v>3764.6023178239998</v>
      </c>
      <c r="F1" s="76">
        <f>(('OECD Europe 2015'!$B12+'OECD Europe 2015'!$B13+'OECD Europe 2015'!$B14+'OECD Europe 2015'!$B20-'OECD Europe 2015'!$B22+'OECD Europe 2015'!$B30)*Emissionsfaktorer!$B2*-1+('OECD Europe 2015'!$D22-'OECD Europe 2015'!$D30-'OECD Europe 2015'!$D12-'OECD Europe 2015'!$D13-'OECD Europe 2015'!$D14-'OECD Europe 2015'!$D20)*Emissionsfaktorer!$B4+('OECD Europe 2015'!$E12+'OECD Europe 2015'!$E13+'OECD Europe 2015'!$E14+'OECD Europe 2015'!$E20-'OECD Europe 2015'!$E22+'OECD Europe 2015'!$E30)*Emissionsfaktorer!$B5*-1)*0.041872</f>
        <v>3409.0454761279998</v>
      </c>
      <c r="G1" s="76">
        <f>(('OECD Europe 2018'!$B12+'OECD Europe 2018'!$B13+'OECD Europe 2018'!$B14+'OECD Europe 2018'!$B20-'OECD Europe 2018'!$B22+'OECD Europe 2018'!$B30)*Emissionsfaktorer!$B2*-1+('OECD Europe 2018'!$D22-'OECD Europe 2018'!$D30-'OECD Europe 2018'!$D12-'OECD Europe 2018'!$D13-'OECD Europe 2018'!$D14-'OECD Europe 2018'!$D20)*Emissionsfaktorer!$B4+('OECD Europe 2018'!$E12+'OECD Europe 2018'!$E13+'OECD Europe 2018'!$E14+'OECD Europe 2018'!$E20-'OECD Europe 2018'!$E22+'OECD Europe 2018'!$E30)*Emissionsfaktorer!$B5*-1)*0.041872</f>
        <v>3376.4924247039999</v>
      </c>
      <c r="H1" s="83">
        <f>'BL OECD Europe 2030'!$AH8+'BL OECD Europe 2030'!$AH16</f>
        <v>3382.0166462447278</v>
      </c>
      <c r="I1" s="83">
        <f>'BL OECD Europe 2050'!$AH8+'BL OECD Europe 2050'!$AH16</f>
        <v>3382.0166462447278</v>
      </c>
    </row>
    <row r="2" spans="1:11" ht="15" customHeight="1" x14ac:dyDescent="0.35">
      <c r="B2" s="76">
        <f>' KF Middle East'!B1+' KF Africa'!B1+' KF China'!B1+' KF Asia excluding China'!B1+' KF Non-OECD Americas'!B1+' KF Non-OECD Europe Eurasia '!B1+' KF OECD Europe'!B1+' KF OECD Asia Oceania'!B1+' KF OECD Americas'!B1</f>
        <v>20512.548212767997</v>
      </c>
      <c r="C2" s="76">
        <f>' KF Middle East'!C1+' KF Africa'!C1+' KF China'!C1+' KF Asia excluding China'!C1+' KF Non-OECD Americas'!C1+' KF Non-OECD Europe Eurasia '!C1+' KF OECD Europe'!C1+' KF OECD Asia Oceania'!C1+' KF OECD Americas'!C1</f>
        <v>22293.933162016001</v>
      </c>
      <c r="D2" s="76">
        <f>' KF Middle East'!D1+' KF Africa'!D1+' KF China'!D1+' KF Asia excluding China'!D1+' KF Non-OECD Americas'!D1+' KF Non-OECD Europe Eurasia '!D1+' KF OECD Europe'!D1+' KF OECD Asia Oceania'!D1+' KF OECD Americas'!D1</f>
        <v>25992.162037168</v>
      </c>
      <c r="E2" s="76">
        <f>' KF Middle East'!E1+' KF Africa'!E1+' KF China'!E1+' KF Asia excluding China'!E1+' KF Non-OECD Americas'!E1+' KF Non-OECD Europe Eurasia '!E1+' KF OECD Europe'!E1+' KF OECD Asia Oceania'!E1+' KF OECD Americas'!E1</f>
        <v>29123.978319039998</v>
      </c>
      <c r="F2" s="76">
        <f>' KF Middle East'!F1+' KF Africa'!F1+' KF China'!F1+' KF Asia excluding China'!F1+' KF Non-OECD Americas'!F1+' KF Non-OECD Europe Eurasia '!F1+' KF OECD Europe'!F1+' KF OECD Asia Oceania'!F1+' KF OECD Americas'!F1</f>
        <v>30670.019138096002</v>
      </c>
      <c r="G2" s="76">
        <f>' KF Middle East'!G1+' KF Africa'!G1+' KF China'!G1+' KF Asia excluding China'!G1+' KF Non-OECD Americas'!G1+' KF Non-OECD Europe Eurasia '!G1+' KF OECD Europe'!G1+' KF OECD Asia Oceania'!G1+' KF OECD Americas'!G1</f>
        <v>31652.588578768002</v>
      </c>
      <c r="H2" s="101">
        <f>' KF Middle East'!H1+' KF Africa'!H1+' KF China'!H1+' KF Asia excluding China'!H1+' KF Non-OECD Americas'!H1+' KF Non-OECD Europe Eurasia '!H1+' KF OECD Europe'!H1+' KF OECD Asia Oceania'!H1+' KF OECD Americas'!H1</f>
        <v>31634.759971648018</v>
      </c>
      <c r="I2" s="101">
        <f>' KF Middle East'!I1+' KF Africa'!I1+' KF China'!I1+' KF Asia excluding China'!I1+' KF Non-OECD Americas'!I1+' KF Non-OECD Europe Eurasia '!I1+' KF OECD Europe'!I1+' KF OECD Asia Oceania'!I1+' KF OECD Americas'!I1</f>
        <v>31634.759971648018</v>
      </c>
      <c r="J2" t="s">
        <v>129</v>
      </c>
    </row>
    <row r="3" spans="1:11" ht="14.25" customHeight="1" x14ac:dyDescent="0.35">
      <c r="B3" s="117" t="s">
        <v>130</v>
      </c>
      <c r="C3" s="117"/>
      <c r="D3" s="117"/>
      <c r="E3" s="117"/>
      <c r="F3" s="117"/>
      <c r="G3" s="117"/>
      <c r="H3" s="117"/>
      <c r="I3" s="117"/>
    </row>
    <row r="4" spans="1:11" ht="15.75" customHeight="1" x14ac:dyDescent="0.35">
      <c r="B4" s="41">
        <v>1995</v>
      </c>
      <c r="C4" s="114">
        <v>2000</v>
      </c>
      <c r="D4" s="114">
        <v>2005</v>
      </c>
      <c r="E4" s="114">
        <v>2010</v>
      </c>
      <c r="F4" s="114">
        <v>2015</v>
      </c>
      <c r="G4" s="114">
        <v>2018</v>
      </c>
      <c r="H4" s="35">
        <v>2030</v>
      </c>
      <c r="I4" s="35">
        <v>2050</v>
      </c>
    </row>
    <row r="5" spans="1:11" x14ac:dyDescent="0.35">
      <c r="A5" s="30" t="s">
        <v>131</v>
      </c>
      <c r="B5" s="7">
        <f>('OECD Europe 1995'!$L22-'OECD Europe 1995'!$L30)*0.041872*-1</f>
        <v>-44459.815216000003</v>
      </c>
      <c r="C5" s="7">
        <f>('OECD Europe 2000'!$L22-'OECD Europe 2000'!$L30)*0.041872*-1</f>
        <v>-46913.346927999999</v>
      </c>
      <c r="D5" s="7">
        <f>('OECD Europe 2005'!$L22-'OECD Europe 2005'!$L30)*0.041872*-1</f>
        <v>-49588.297775999999</v>
      </c>
      <c r="E5" s="7">
        <f>('OECD Europe 2010'!$L22-'OECD Europe 2010'!$L30)*0.041872*-1</f>
        <v>-49241.639488000001</v>
      </c>
      <c r="F5" s="7">
        <f>('OECD Europe 2015'!$L22-'OECD Europe 2015'!$L30)*0.041872*-1</f>
        <v>-46504.09</v>
      </c>
      <c r="G5" s="7">
        <f>('OECD Europe 2018'!$L22-'OECD Europe 2018'!$L30)*0.041872*-1</f>
        <v>-48074.08064</v>
      </c>
      <c r="H5" s="79">
        <f>G5</f>
        <v>-48074.08064</v>
      </c>
      <c r="I5" s="79">
        <f>H5</f>
        <v>-48074.08064</v>
      </c>
      <c r="K5" s="34"/>
    </row>
    <row r="6" spans="1:11" x14ac:dyDescent="0.35">
      <c r="A6" s="31" t="s">
        <v>132</v>
      </c>
      <c r="B6" s="80"/>
      <c r="C6" s="80"/>
      <c r="D6" s="80"/>
      <c r="E6" s="80"/>
      <c r="F6" s="80"/>
      <c r="G6" s="80"/>
      <c r="H6" s="33"/>
      <c r="I6" s="33"/>
    </row>
    <row r="7" spans="1:11" x14ac:dyDescent="0.35">
      <c r="A7" s="30" t="s">
        <v>133</v>
      </c>
      <c r="B7" s="40">
        <f>('OECD Europe 1995'!$L23/B$5*0.041872*-1)</f>
        <v>0.28933333207760759</v>
      </c>
      <c r="C7" s="40">
        <f>('OECD Europe 2000'!$L23/C$5*0.041872*-1)</f>
        <v>0.29027069820662105</v>
      </c>
      <c r="D7" s="40">
        <f>('OECD Europe 2005'!$L23/D$5*0.041872*-1)</f>
        <v>0.2762726476695182</v>
      </c>
      <c r="E7" s="40">
        <f>('OECD Europe 2010'!$L23/E$5*0.041872*-1)</f>
        <v>0.25208162557270214</v>
      </c>
      <c r="F7" s="40">
        <f>('OECD Europe 2015'!$L23/F$5*0.041872*-1)</f>
        <v>0.25649251547552054</v>
      </c>
      <c r="G7" s="40">
        <f>('OECD Europe 2018'!$L23/G$5*0.041872*-1)</f>
        <v>0.26042486848064661</v>
      </c>
      <c r="H7" s="77">
        <f t="shared" ref="H7:I68" si="0">G7</f>
        <v>0.26042486848064661</v>
      </c>
      <c r="I7" s="77">
        <f>H7</f>
        <v>0.26042486848064661</v>
      </c>
    </row>
    <row r="8" spans="1:11" x14ac:dyDescent="0.35">
      <c r="A8" s="30" t="s">
        <v>134</v>
      </c>
      <c r="B8" s="40">
        <f>'OECD Europe 1995'!$L24/B$5*0.041872*-1</f>
        <v>0.27235183927715401</v>
      </c>
      <c r="C8" s="40">
        <f>'OECD Europe 2000'!$L24/C$5*0.041872*-1</f>
        <v>0.28380335933894979</v>
      </c>
      <c r="D8" s="40">
        <f>'OECD Europe 2005'!$L24/D$5*0.041872*-1</f>
        <v>0.28486012211608208</v>
      </c>
      <c r="E8" s="40">
        <f>'OECD Europe 2010'!$L24/E$5*0.041872*-1</f>
        <v>0.2847711402342169</v>
      </c>
      <c r="F8" s="40">
        <f>'OECD Europe 2015'!$L24/F$5*0.041872*-1</f>
        <v>0.30376679797411371</v>
      </c>
      <c r="G8" s="40">
        <f>'OECD Europe 2018'!$L24/G$5*0.041872*-1</f>
        <v>0.30859230742431104</v>
      </c>
      <c r="H8" s="77">
        <f t="shared" si="0"/>
        <v>0.30859230742431104</v>
      </c>
      <c r="I8" s="77">
        <f t="shared" si="0"/>
        <v>0.30859230742431104</v>
      </c>
    </row>
    <row r="9" spans="1:11" x14ac:dyDescent="0.35">
      <c r="A9" s="30" t="s">
        <v>135</v>
      </c>
      <c r="B9" s="40">
        <f>'OECD Europe 1995'!$L25/B$5*0.041872*-1</f>
        <v>0.28235369461190069</v>
      </c>
      <c r="C9" s="40">
        <f>'OECD Europe 2000'!$L25/C$5*0.041872*-1</f>
        <v>0.27181655820828116</v>
      </c>
      <c r="D9" s="40">
        <f>'OECD Europe 2005'!$L25/D$5*0.041872*-1</f>
        <v>0.27529906280846722</v>
      </c>
      <c r="E9" s="40">
        <f>'OECD Europe 2010'!$L25/E$5*0.041872*-1</f>
        <v>0.28794800017687017</v>
      </c>
      <c r="F9" s="40">
        <f>'OECD Europe 2015'!$L25/F$5*0.041872*-1</f>
        <v>0.2655819921215532</v>
      </c>
      <c r="G9" s="40">
        <f>'OECD Europe 2018'!$L25/G$5*0.041872*-1</f>
        <v>0.25764554227781067</v>
      </c>
      <c r="H9" s="89">
        <f>1-H7-H8-H10-H11-H12-H13</f>
        <v>0.25764467128871554</v>
      </c>
      <c r="I9" s="89">
        <f>1-I7-I8-I10-I11-I12-I13</f>
        <v>0.25764467128871554</v>
      </c>
    </row>
    <row r="10" spans="1:11" x14ac:dyDescent="0.35">
      <c r="A10" s="30" t="s">
        <v>136</v>
      </c>
      <c r="B10" s="40">
        <f>'OECD Europe 1995'!$L26/B$5*0.041872*-1</f>
        <v>0.11288628869950453</v>
      </c>
      <c r="C10" s="40">
        <f>'OECD Europe 2000'!$L26/C$5*0.041872*-1</f>
        <v>0.11398796321667549</v>
      </c>
      <c r="D10" s="40">
        <f>'OECD Europe 2005'!$L26/D$5*0.041872*-1</f>
        <v>0.12805385199314692</v>
      </c>
      <c r="E10" s="40">
        <f>'OECD Europe 2010'!$L26/E$5*0.041872*-1</f>
        <v>0.14304288080652786</v>
      </c>
      <c r="F10" s="40">
        <f>'OECD Europe 2015'!$L26/F$5*0.041872*-1</f>
        <v>0.14361643218908274</v>
      </c>
      <c r="G10" s="40">
        <f>'OECD Europe 2018'!$L26/G$5*0.041872*-1</f>
        <v>0.14037121555238127</v>
      </c>
      <c r="H10" s="88">
        <f t="shared" si="0"/>
        <v>0.14037121555238127</v>
      </c>
      <c r="I10" s="88">
        <f t="shared" si="0"/>
        <v>0.14037121555238127</v>
      </c>
    </row>
    <row r="11" spans="1:11" x14ac:dyDescent="0.35">
      <c r="A11" s="30" t="s">
        <v>137</v>
      </c>
      <c r="B11" s="40">
        <f>'OECD Europe 1995'!$L27/B$5*0.041872*-1</f>
        <v>3.1009518714865184E-2</v>
      </c>
      <c r="C11" s="40">
        <f>'OECD Europe 2000'!$L27/C$5*0.041872*-1</f>
        <v>2.7076960975509618E-2</v>
      </c>
      <c r="D11" s="40">
        <f>'OECD Europe 2005'!$L27/D$5*0.041872*-1</f>
        <v>2.6129734193600686E-2</v>
      </c>
      <c r="E11" s="40">
        <f>'OECD Europe 2010'!$L27/E$5*0.041872*-1</f>
        <v>2.6365556579739526E-2</v>
      </c>
      <c r="F11" s="40">
        <f>'OECD Europe 2015'!$L27/F$5*0.041872*-1</f>
        <v>2.5523466516601017E-2</v>
      </c>
      <c r="G11" s="40">
        <f>'OECD Europe 2018'!$L27/G$5*0.041872*-1</f>
        <v>2.8360275929345365E-2</v>
      </c>
      <c r="H11" s="88">
        <f t="shared" si="0"/>
        <v>2.8360275929345365E-2</v>
      </c>
      <c r="I11" s="88">
        <f t="shared" si="0"/>
        <v>2.8360275929345365E-2</v>
      </c>
    </row>
    <row r="12" spans="1:11" x14ac:dyDescent="0.35">
      <c r="A12" s="30" t="s">
        <v>138</v>
      </c>
      <c r="B12" s="40">
        <f>'OECD Europe 1995'!$L28/B$5*0.041872*-1</f>
        <v>1.5483098088816853E-3</v>
      </c>
      <c r="C12" s="40">
        <f>'OECD Europe 2000'!$L28/C$5*0.041872*-1</f>
        <v>1.9394876289607543E-3</v>
      </c>
      <c r="D12" s="40">
        <f>'OECD Europe 2005'!$L28/D$5*0.041872*-1</f>
        <v>1.7985565950030527E-3</v>
      </c>
      <c r="E12" s="40">
        <f>'OECD Europe 2010'!$L28/E$5*0.041872*-1</f>
        <v>1.7287356165455218E-3</v>
      </c>
      <c r="F12" s="40">
        <f>'OECD Europe 2015'!$L28/F$5*0.041872*-1</f>
        <v>1.7899831176139563E-3</v>
      </c>
      <c r="G12" s="40">
        <f>'OECD Europe 2018'!$L28/G$5*0.041872*-1</f>
        <v>1.7959795143364804E-3</v>
      </c>
      <c r="H12" s="88">
        <f t="shared" si="0"/>
        <v>1.7959795143364804E-3</v>
      </c>
      <c r="I12" s="88">
        <f t="shared" si="0"/>
        <v>1.7959795143364804E-3</v>
      </c>
    </row>
    <row r="13" spans="1:11" x14ac:dyDescent="0.35">
      <c r="A13" s="30" t="s">
        <v>139</v>
      </c>
      <c r="B13" s="40">
        <f>'OECD Europe 1995'!$L29/B$5*0.041872*-1</f>
        <v>1.051795860437388E-2</v>
      </c>
      <c r="C13" s="40">
        <f>'OECD Europe 2000'!$L29/C$5*0.041872*-1</f>
        <v>1.1104972425002165E-2</v>
      </c>
      <c r="D13" s="40">
        <f>'OECD Europe 2005'!$L29/D$5*0.041872*-1</f>
        <v>7.5860246241818887E-3</v>
      </c>
      <c r="E13" s="40">
        <f>'OECD Europe 2010'!$L29/E$5*0.041872*-1</f>
        <v>4.0620610133979135E-3</v>
      </c>
      <c r="F13" s="40">
        <f>'OECD Europe 2015'!$L29/F$5*0.041872*-1</f>
        <v>3.2288126055149127E-3</v>
      </c>
      <c r="G13" s="40">
        <f>'OECD Europe 2018'!$L29/G$5*0.041872*-1</f>
        <v>2.8106818102637357E-3</v>
      </c>
      <c r="H13" s="88">
        <f t="shared" si="0"/>
        <v>2.8106818102637357E-3</v>
      </c>
      <c r="I13" s="88">
        <f t="shared" si="0"/>
        <v>2.8106818102637357E-3</v>
      </c>
    </row>
    <row r="14" spans="1:11" x14ac:dyDescent="0.35">
      <c r="A14" s="31" t="s">
        <v>140</v>
      </c>
      <c r="B14" s="81"/>
      <c r="C14" s="81"/>
      <c r="D14" s="81"/>
      <c r="E14" s="81"/>
      <c r="F14" s="81"/>
      <c r="G14" s="81"/>
      <c r="H14" s="42"/>
      <c r="I14" s="42"/>
    </row>
    <row r="15" spans="1:11" x14ac:dyDescent="0.35">
      <c r="A15" s="30" t="s">
        <v>141</v>
      </c>
      <c r="B15" s="40">
        <f>'OECD Europe 1995'!$B23/'OECD Europe 1995'!$L23</f>
        <v>0.16880360659473007</v>
      </c>
      <c r="C15" s="40">
        <f>'OECD Europe 2000'!$B23/'OECD Europe 2000'!$L23</f>
        <v>0.14024703353740095</v>
      </c>
      <c r="D15" s="40">
        <f>'OECD Europe 2005'!$B23/'OECD Europe 2005'!$L23</f>
        <v>0.1139202591805859</v>
      </c>
      <c r="E15" s="40">
        <f>'OECD Europe 2010'!$B23/'OECD Europe 2010'!$L23</f>
        <v>0.10471615691063219</v>
      </c>
      <c r="F15" s="40">
        <f>'OECD Europe 2015'!$B23/'OECD Europe 2015'!$L23</f>
        <v>9.9211210845763106E-2</v>
      </c>
      <c r="G15" s="40">
        <f>'OECD Europe 2018'!$B23/'OECD Europe 2018'!$L23</f>
        <v>9.2836430891073213E-2</v>
      </c>
      <c r="H15" s="77">
        <f t="shared" si="0"/>
        <v>9.2836430891073213E-2</v>
      </c>
      <c r="I15" s="77">
        <f t="shared" si="0"/>
        <v>9.2836430891073213E-2</v>
      </c>
    </row>
    <row r="16" spans="1:11" x14ac:dyDescent="0.35">
      <c r="A16" s="30" t="s">
        <v>142</v>
      </c>
      <c r="B16" s="40">
        <f>'OECD Europe 1995'!$C23/'OECD Europe 1995'!$L23</f>
        <v>4.5570691535244046E-5</v>
      </c>
      <c r="C16" s="40">
        <f>'OECD Europe 2000'!$C23/'OECD Europe 2000'!$L23</f>
        <v>3.6898213204025593E-5</v>
      </c>
      <c r="D16" s="40">
        <f>'OECD Europe 2005'!$C23/'OECD Europe 2005'!$L23</f>
        <v>3.6676498005715421E-5</v>
      </c>
      <c r="E16" s="40">
        <f>'OECD Europe 2010'!$C23/'OECD Europe 2010'!$L23</f>
        <v>4.0479138064220155E-5</v>
      </c>
      <c r="F16" s="40">
        <f>'OECD Europe 2015'!$C23/'OECD Europe 2015'!$L23</f>
        <v>0</v>
      </c>
      <c r="G16" s="40">
        <f>'OECD Europe 2018'!$C23/'OECD Europe 2018'!$L23</f>
        <v>0</v>
      </c>
      <c r="H16" s="77">
        <f t="shared" si="0"/>
        <v>0</v>
      </c>
      <c r="I16" s="77">
        <f t="shared" si="0"/>
        <v>0</v>
      </c>
    </row>
    <row r="17" spans="1:9" x14ac:dyDescent="0.35">
      <c r="A17" s="30" t="s">
        <v>143</v>
      </c>
      <c r="B17" s="40">
        <f>'OECD Europe 1995'!$D23/'OECD Europe 1995'!$L23</f>
        <v>0.18613023452630895</v>
      </c>
      <c r="C17" s="40">
        <f>'OECD Europe 2000'!$D23/'OECD Europe 2000'!$L23</f>
        <v>0.16621107622863363</v>
      </c>
      <c r="D17" s="40">
        <f>'OECD Europe 2005'!$D23/'OECD Europe 2005'!$L23</f>
        <v>0.15023916133074561</v>
      </c>
      <c r="E17" s="40">
        <f>'OECD Europe 2010'!$D23/'OECD Europe 2010'!$L23</f>
        <v>0.12608239528552972</v>
      </c>
      <c r="F17" s="40">
        <f>'OECD Europe 2015'!$D23/'OECD Europe 2015'!$L23</f>
        <v>0.10394324368916021</v>
      </c>
      <c r="G17" s="40">
        <f>'OECD Europe 2018'!$D23/'OECD Europe 2018'!$L23</f>
        <v>0.10371941043281081</v>
      </c>
      <c r="H17" s="77">
        <f t="shared" si="0"/>
        <v>0.10371941043281081</v>
      </c>
      <c r="I17" s="77">
        <f t="shared" si="0"/>
        <v>0.10371941043281081</v>
      </c>
    </row>
    <row r="18" spans="1:9" x14ac:dyDescent="0.35">
      <c r="A18" s="30" t="s">
        <v>241</v>
      </c>
      <c r="B18" s="40">
        <f>'OECD Europe 1995'!$E23/'OECD Europe 1995'!$L23</f>
        <v>0.27381150008951388</v>
      </c>
      <c r="C18" s="40">
        <f>'OECD Europe 2000'!$E23/'OECD Europe 2000'!$L23</f>
        <v>0.30330023768599007</v>
      </c>
      <c r="D18" s="40">
        <f>'OECD Europe 2005'!$E23/'OECD Europe 2005'!$L23</f>
        <v>0.30371502361049557</v>
      </c>
      <c r="E18" s="40">
        <f>'OECD Europe 2010'!$E23/'OECD Europe 2010'!$L23</f>
        <v>0.29977500345759306</v>
      </c>
      <c r="F18" s="40">
        <f>'OECD Europe 2015'!$E23/'OECD Europe 2015'!$L23</f>
        <v>0.2994730874408057</v>
      </c>
      <c r="G18" s="40">
        <f>'OECD Europe 2018'!$E23/'OECD Europe 2018'!$L23</f>
        <v>0.30517158920263948</v>
      </c>
      <c r="H18" s="77">
        <f t="shared" si="0"/>
        <v>0.30517158920263948</v>
      </c>
      <c r="I18" s="77">
        <f t="shared" si="0"/>
        <v>0.30517158920263948</v>
      </c>
    </row>
    <row r="19" spans="1:9" x14ac:dyDescent="0.35">
      <c r="A19" s="30" t="s">
        <v>145</v>
      </c>
      <c r="B19" s="40">
        <f>'OECD Europe 1995'!$H23/'OECD Europe 1995'!$L23</f>
        <v>1.562423709779796E-4</v>
      </c>
      <c r="C19" s="40">
        <f>'OECD Europe 2000'!$H23/'OECD Europe 2000'!$L23</f>
        <v>3.3515876993656584E-4</v>
      </c>
      <c r="D19" s="40">
        <f>'OECD Europe 2005'!$H23/'OECD Europe 2005'!$L23</f>
        <v>4.1566697739810811E-4</v>
      </c>
      <c r="E19" s="40">
        <f>'OECD Europe 2010'!$H23/'OECD Europe 2010'!$L23</f>
        <v>5.2622879483486199E-4</v>
      </c>
      <c r="F19" s="40">
        <f>'OECD Europe 2015'!$H23/'OECD Europe 2015'!$L23</f>
        <v>1.1128000084249844E-3</v>
      </c>
      <c r="G19" s="40">
        <f>'OECD Europe 2018'!$H23/'OECD Europe 2018'!$L23</f>
        <v>1.1404720417125141E-3</v>
      </c>
      <c r="H19" s="77">
        <f t="shared" si="0"/>
        <v>1.1404720417125141E-3</v>
      </c>
      <c r="I19" s="77">
        <f t="shared" si="0"/>
        <v>1.1404720417125141E-3</v>
      </c>
    </row>
    <row r="20" spans="1:9" x14ac:dyDescent="0.35">
      <c r="A20" s="30" t="s">
        <v>146</v>
      </c>
      <c r="B20" s="40">
        <f>'OECD Europe 1995'!$I23/'OECD Europe 1995'!$L23</f>
        <v>5.3268883355304913E-2</v>
      </c>
      <c r="C20" s="40">
        <f>'OECD Europe 2000'!$I23/'OECD Europe 2000'!$L23</f>
        <v>5.2715247264151235E-2</v>
      </c>
      <c r="D20" s="40">
        <f>'OECD Europe 2005'!$I23/'OECD Europe 2005'!$L23</f>
        <v>5.88504974250042E-2</v>
      </c>
      <c r="E20" s="40">
        <f>'OECD Europe 2010'!$I23/'OECD Europe 2010'!$L23</f>
        <v>7.6303175251054983E-2</v>
      </c>
      <c r="F20" s="40">
        <f>'OECD Europe 2015'!$I23/'OECD Europe 2015'!$L23</f>
        <v>8.8072679531149625E-2</v>
      </c>
      <c r="G20" s="40">
        <f>'OECD Europe 2018'!$I23/'OECD Europe 2018'!$L23</f>
        <v>9.4833093087267853E-2</v>
      </c>
      <c r="H20" s="77">
        <f t="shared" si="0"/>
        <v>9.4833093087267853E-2</v>
      </c>
      <c r="I20" s="77">
        <f t="shared" si="0"/>
        <v>9.4833093087267853E-2</v>
      </c>
    </row>
    <row r="21" spans="1:9" x14ac:dyDescent="0.35">
      <c r="A21" s="30" t="s">
        <v>147</v>
      </c>
      <c r="B21" s="40">
        <f>'OECD Europe 1995'!$J23/'OECD Europe 1995'!$L23</f>
        <v>0.28666243510245271</v>
      </c>
      <c r="C21" s="40">
        <f>'OECD Europe 2000'!$J23/'OECD Europe 2000'!$L23</f>
        <v>0.30366307011582966</v>
      </c>
      <c r="D21" s="40">
        <f>'OECD Europe 2005'!$J23/'OECD Europe 2005'!$L23</f>
        <v>0.32333083729388573</v>
      </c>
      <c r="E21" s="40">
        <f>'OECD Europe 2010'!$J23/'OECD Europe 2010'!$L23</f>
        <v>0.33450610391669394</v>
      </c>
      <c r="F21" s="40">
        <f>'OECD Europe 2015'!$J23/'OECD Europe 2015'!$L23</f>
        <v>0.35072507521053686</v>
      </c>
      <c r="G21" s="40">
        <f>'OECD Europe 2018'!$J23/'OECD Europe 2018'!$L23</f>
        <v>0.3470713948876083</v>
      </c>
      <c r="H21" s="89">
        <f>1-H15-H16-H17-H18-H19-H20-H22</f>
        <v>0.3470713948876083</v>
      </c>
      <c r="I21" s="89">
        <f>1-I15-I16-I17-I18-I19-I20-I22</f>
        <v>0.3470713948876083</v>
      </c>
    </row>
    <row r="22" spans="1:9" x14ac:dyDescent="0.35">
      <c r="A22" s="30" t="s">
        <v>148</v>
      </c>
      <c r="B22" s="40">
        <f>'OECD Europe 1995'!$K23/'OECD Europe 1995'!$L23</f>
        <v>3.1121527269176309E-2</v>
      </c>
      <c r="C22" s="40">
        <f>'OECD Europe 2000'!$K23/'OECD Europe 2000'!$L23</f>
        <v>3.3491278184853895E-2</v>
      </c>
      <c r="D22" s="40">
        <f>'OECD Europe 2005'!$K23/'OECD Europe 2005'!$L23</f>
        <v>4.9494934058712962E-2</v>
      </c>
      <c r="E22" s="40">
        <f>'OECD Europe 2010'!$K23/'OECD Europe 2010'!$L23</f>
        <v>5.8053830507102402E-2</v>
      </c>
      <c r="F22" s="40">
        <f>'OECD Europe 2015'!$K23/'OECD Europe 2015'!$L23</f>
        <v>5.7461903274159523E-2</v>
      </c>
      <c r="G22" s="40">
        <f>'OECD Europe 2018'!$K23/'OECD Europe 2018'!$L23</f>
        <v>5.5227609456887816E-2</v>
      </c>
      <c r="H22" s="77">
        <f t="shared" si="0"/>
        <v>5.5227609456887816E-2</v>
      </c>
      <c r="I22" s="77">
        <f t="shared" si="0"/>
        <v>5.5227609456887816E-2</v>
      </c>
    </row>
    <row r="23" spans="1:9" x14ac:dyDescent="0.35">
      <c r="A23" s="31" t="s">
        <v>149</v>
      </c>
      <c r="B23" s="81"/>
      <c r="C23" s="81"/>
      <c r="D23" s="81"/>
      <c r="E23" s="81"/>
      <c r="F23" s="81"/>
      <c r="G23" s="81"/>
      <c r="H23" s="42"/>
      <c r="I23" s="42"/>
    </row>
    <row r="24" spans="1:9" x14ac:dyDescent="0.35">
      <c r="A24" s="30" t="s">
        <v>141</v>
      </c>
      <c r="B24" s="40">
        <f>'OECD Europe 1995'!$B24/'OECD Europe 1995'!$L24</f>
        <v>4.8412083656080561E-5</v>
      </c>
      <c r="C24" s="40">
        <f>'OECD Europe 2000'!$B24/'OECD Europe 2000'!$L24</f>
        <v>3.1449211096539646E-5</v>
      </c>
      <c r="D24" s="40">
        <f>'OECD Europe 2005'!$B24/'OECD Europe 2005'!$L24</f>
        <v>2.3713891894295328E-5</v>
      </c>
      <c r="E24" s="40">
        <f>'OECD Europe 2010'!$B24/'OECD Europe 2010'!$L24</f>
        <v>4.1804522054871421E-5</v>
      </c>
      <c r="F24" s="40">
        <f>'OECD Europe 2015'!$B24/'OECD Europe 2015'!$L24</f>
        <v>2.9640959062871438E-5</v>
      </c>
      <c r="G24" s="40">
        <f>'OECD Europe 2018'!$B24/'OECD Europe 2018'!$L24</f>
        <v>3.3869506436617452E-5</v>
      </c>
      <c r="H24" s="77">
        <f t="shared" si="0"/>
        <v>3.3869506436617452E-5</v>
      </c>
      <c r="I24" s="77">
        <f t="shared" si="0"/>
        <v>3.3869506436617452E-5</v>
      </c>
    </row>
    <row r="25" spans="1:9" x14ac:dyDescent="0.35">
      <c r="A25" s="30" t="s">
        <v>143</v>
      </c>
      <c r="B25" s="40">
        <f>'OECD Europe 1995'!$D24/'OECD Europe 1995'!$L24</f>
        <v>0.97769931946442401</v>
      </c>
      <c r="C25" s="40">
        <f>'OECD Europe 2000'!$D24/'OECD Europe 2000'!$L24</f>
        <v>0.97615835306771326</v>
      </c>
      <c r="D25" s="40">
        <f>'OECD Europe 2005'!$D24/'OECD Europe 2005'!$L24</f>
        <v>0.96587570956410906</v>
      </c>
      <c r="E25" s="40">
        <f>'OECD Europe 2010'!$D24/'OECD Europe 2010'!$L24</f>
        <v>0.93638546158164426</v>
      </c>
      <c r="F25" s="40">
        <f>'OECD Europe 2015'!$D24/'OECD Europe 2015'!$L24</f>
        <v>0.93288397639394016</v>
      </c>
      <c r="G25" s="40">
        <f>'OECD Europe 2018'!$D24/'OECD Europe 2018'!$L24</f>
        <v>0.92432423278511777</v>
      </c>
      <c r="H25" s="89">
        <f>1-H24-H26-H27-H28-H29-H30</f>
        <v>0.92432423278511777</v>
      </c>
      <c r="I25" s="89">
        <f>1-I24-I26-I27-I28-I29-I30</f>
        <v>0.92432423278511777</v>
      </c>
    </row>
    <row r="26" spans="1:9" x14ac:dyDescent="0.35">
      <c r="A26" s="30" t="s">
        <v>241</v>
      </c>
      <c r="B26" s="40">
        <f>'OECD Europe 1995'!$E24/'OECD Europe 1995'!$L24</f>
        <v>1.476568551510457E-3</v>
      </c>
      <c r="C26" s="40">
        <f>'OECD Europe 2000'!$E24/'OECD Europe 2000'!$L24</f>
        <v>2.2423287511832766E-3</v>
      </c>
      <c r="D26" s="40">
        <f>'OECD Europe 2005'!$E24/'OECD Europe 2005'!$L24</f>
        <v>7.7188718115931291E-3</v>
      </c>
      <c r="E26" s="40">
        <f>'OECD Europe 2010'!$E24/'OECD Europe 2010'!$L24</f>
        <v>8.2623651804163735E-3</v>
      </c>
      <c r="F26" s="40">
        <f>'OECD Europe 2015'!$E24/'OECD Europe 2015'!$L24</f>
        <v>9.6333116954332183E-3</v>
      </c>
      <c r="G26" s="40">
        <f>'OECD Europe 2018'!$E24/'OECD Europe 2018'!$L24</f>
        <v>1.1137422699907706E-2</v>
      </c>
      <c r="H26" s="90">
        <f t="shared" si="0"/>
        <v>1.1137422699907706E-2</v>
      </c>
      <c r="I26" s="90">
        <f t="shared" si="0"/>
        <v>1.1137422699907706E-2</v>
      </c>
    </row>
    <row r="27" spans="1:9" x14ac:dyDescent="0.35">
      <c r="A27" s="30" t="s">
        <v>145</v>
      </c>
      <c r="B27" s="40">
        <f>'OECD Europe 1995'!$H24/'OECD Europe 1995'!$L24</f>
        <v>0</v>
      </c>
      <c r="C27" s="40">
        <f>'OECD Europe 2000'!$H24/'OECD Europe 2000'!$L24</f>
        <v>0</v>
      </c>
      <c r="D27" s="40">
        <f>'OECD Europe 2005'!$H24/'OECD Europe 2005'!$L24</f>
        <v>0</v>
      </c>
      <c r="E27" s="40">
        <f>'OECD Europe 2010'!$H24/'OECD Europe 2010'!$L24</f>
        <v>0</v>
      </c>
      <c r="F27" s="40">
        <f>'OECD Europe 2015'!$H24/'OECD Europe 2015'!$L24</f>
        <v>0</v>
      </c>
      <c r="G27" s="40">
        <f>'OECD Europe 2018'!$H24/'OECD Europe 2018'!$L24</f>
        <v>0</v>
      </c>
      <c r="H27" s="77">
        <f t="shared" si="0"/>
        <v>0</v>
      </c>
      <c r="I27" s="77">
        <f t="shared" si="0"/>
        <v>0</v>
      </c>
    </row>
    <row r="28" spans="1:9" x14ac:dyDescent="0.35">
      <c r="A28" s="30" t="s">
        <v>146</v>
      </c>
      <c r="B28" s="40">
        <f>'OECD Europe 1995'!$I24/'OECD Europe 1995'!$L24</f>
        <v>7.5038729666924867E-4</v>
      </c>
      <c r="C28" s="40">
        <f>'OECD Europe 2000'!$I24/'OECD Europe 2000'!$L24</f>
        <v>2.2391838300736227E-3</v>
      </c>
      <c r="D28" s="40">
        <f>'OECD Europe 2005'!$I24/'OECD Europe 2005'!$L24</f>
        <v>9.538913014480295E-3</v>
      </c>
      <c r="E28" s="40">
        <f>'OECD Europe 2010'!$I24/'OECD Europe 2010'!$L24</f>
        <v>3.9251460172234631E-2</v>
      </c>
      <c r="F28" s="40">
        <f>'OECD Europe 2015'!$I24/'OECD Europe 2015'!$L24</f>
        <v>4.1037907822545509E-2</v>
      </c>
      <c r="G28" s="40">
        <f>'OECD Europe 2018'!$I24/'OECD Europe 2018'!$L24</f>
        <v>4.8063652092429882E-2</v>
      </c>
      <c r="H28" s="77">
        <f t="shared" si="0"/>
        <v>4.8063652092429882E-2</v>
      </c>
      <c r="I28" s="77">
        <f t="shared" si="0"/>
        <v>4.8063652092429882E-2</v>
      </c>
    </row>
    <row r="29" spans="1:9" x14ac:dyDescent="0.35">
      <c r="A29" s="30" t="s">
        <v>147</v>
      </c>
      <c r="B29" s="40">
        <f>'OECD Europe 1995'!$J24/'OECD Europe 1995'!$L24</f>
        <v>2.0025312603740179E-2</v>
      </c>
      <c r="C29" s="40">
        <f>'OECD Europe 2000'!$J24/'OECD Europe 2000'!$L24</f>
        <v>1.9325540218823611E-2</v>
      </c>
      <c r="D29" s="40">
        <f>'OECD Europe 2005'!$J24/'OECD Europe 2005'!$L24</f>
        <v>1.6842791717923255E-2</v>
      </c>
      <c r="E29" s="40">
        <f>'OECD Europe 2010'!$J24/'OECD Europe 2010'!$L24</f>
        <v>1.6058908543649893E-2</v>
      </c>
      <c r="F29" s="40">
        <f>'OECD Europe 2015'!$J24/'OECD Europe 2015'!$L24</f>
        <v>1.6415163129018202E-2</v>
      </c>
      <c r="G29" s="40">
        <f>'OECD Europe 2018'!$J24/'OECD Europe 2018'!$L24</f>
        <v>1.6440822916108055E-2</v>
      </c>
      <c r="H29" s="77">
        <f>G29</f>
        <v>1.6440822916108055E-2</v>
      </c>
      <c r="I29" s="77">
        <f t="shared" si="0"/>
        <v>1.6440822916108055E-2</v>
      </c>
    </row>
    <row r="30" spans="1:9" x14ac:dyDescent="0.35">
      <c r="A30" s="30" t="s">
        <v>148</v>
      </c>
      <c r="B30" s="40">
        <f>'OECD Europe 1995'!$K24/'OECD Europe 1995'!$L24</f>
        <v>0</v>
      </c>
      <c r="C30" s="40">
        <f>'OECD Europe 2000'!$K24/'OECD Europe 2000'!$L24</f>
        <v>0</v>
      </c>
      <c r="D30" s="40">
        <f>'OECD Europe 2005'!$K24/'OECD Europe 2005'!$L24</f>
        <v>0</v>
      </c>
      <c r="E30" s="40">
        <f>'OECD Europe 2010'!$K24/'OECD Europe 2010'!$L24</f>
        <v>0</v>
      </c>
      <c r="F30" s="40">
        <f>'OECD Europe 2015'!$K24/'OECD Europe 2015'!$L24</f>
        <v>0</v>
      </c>
      <c r="G30" s="40">
        <f>'OECD Europe 2018'!$K24/'OECD Europe 2018'!$L24</f>
        <v>0</v>
      </c>
      <c r="H30" s="77">
        <f t="shared" si="0"/>
        <v>0</v>
      </c>
      <c r="I30" s="77">
        <f t="shared" si="0"/>
        <v>0</v>
      </c>
    </row>
    <row r="31" spans="1:9" x14ac:dyDescent="0.35">
      <c r="A31" s="31" t="s">
        <v>150</v>
      </c>
      <c r="B31" s="81"/>
      <c r="C31" s="81"/>
      <c r="D31" s="81"/>
      <c r="E31" s="81"/>
      <c r="F31" s="81"/>
      <c r="G31" s="81"/>
      <c r="H31" s="42"/>
      <c r="I31" s="42"/>
    </row>
    <row r="32" spans="1:9" x14ac:dyDescent="0.35">
      <c r="A32" s="30" t="s">
        <v>141</v>
      </c>
      <c r="B32" s="40">
        <f>'OECD Europe 1995'!$B$25/'OECD Europe 1995'!$L$25</f>
        <v>7.0255900521674158E-2</v>
      </c>
      <c r="C32" s="40">
        <f>'OECD Europe 2000'!$B$25/'OECD Europe 2000'!$L$25</f>
        <v>3.7682691770948601E-2</v>
      </c>
      <c r="D32" s="40">
        <f>'OECD Europe 2005'!$B$25/'OECD Europe 2005'!$L$25</f>
        <v>3.6459611326495556E-2</v>
      </c>
      <c r="E32" s="40">
        <f>'OECD Europe 2010'!$B$25/'OECD Europe 2010'!$L$25</f>
        <v>4.5306353875048729E-2</v>
      </c>
      <c r="F32" s="40">
        <f>'OECD Europe 2015'!$B$25/'OECD Europe 2015'!$L$25</f>
        <v>3.7269207558939796E-2</v>
      </c>
      <c r="G32" s="40">
        <f>'OECD Europe 2018'!$B$25/'OECD Europe 2018'!$L$25</f>
        <v>3.6158589355257467E-2</v>
      </c>
      <c r="H32" s="77">
        <f t="shared" si="0"/>
        <v>3.6158589355257467E-2</v>
      </c>
      <c r="I32" s="77">
        <f t="shared" si="0"/>
        <v>3.6158589355257467E-2</v>
      </c>
    </row>
    <row r="33" spans="1:9" x14ac:dyDescent="0.35">
      <c r="A33" s="30" t="s">
        <v>143</v>
      </c>
      <c r="B33" s="40">
        <f>'OECD Europe 1995'!$D$25/'OECD Europe 1995'!$L$25</f>
        <v>0.22561740337020186</v>
      </c>
      <c r="C33" s="40">
        <f>'OECD Europe 2000'!$D$25/'OECD Europe 2000'!$L$25</f>
        <v>0.20610225813760291</v>
      </c>
      <c r="D33" s="40">
        <f>'OECD Europe 2005'!$D$25/'OECD Europe 2005'!$L$25</f>
        <v>0.18305871816263433</v>
      </c>
      <c r="E33" s="40">
        <f>'OECD Europe 2010'!$D$25/'OECD Europe 2010'!$L$25</f>
        <v>0.14002090789893334</v>
      </c>
      <c r="F33" s="40">
        <f>'OECD Europe 2015'!$D$25/'OECD Europe 2015'!$L$25</f>
        <v>0.12183264284890935</v>
      </c>
      <c r="G33" s="40">
        <f>'OECD Europe 2018'!$D$25/'OECD Europe 2018'!$L$25</f>
        <v>0.10778951211596711</v>
      </c>
      <c r="H33" s="77">
        <f t="shared" si="0"/>
        <v>0.10778951211596711</v>
      </c>
      <c r="I33" s="77">
        <f t="shared" si="0"/>
        <v>0.10778951211596711</v>
      </c>
    </row>
    <row r="34" spans="1:9" x14ac:dyDescent="0.35">
      <c r="A34" s="30" t="s">
        <v>241</v>
      </c>
      <c r="B34" s="40">
        <f>'OECD Europe 1995'!$E$25/'OECD Europe 1995'!$L$25</f>
        <v>0.31662352737121585</v>
      </c>
      <c r="C34" s="40">
        <f>'OECD Europe 2000'!$E$25/'OECD Europe 2000'!$L$25</f>
        <v>0.35977185487763635</v>
      </c>
      <c r="D34" s="40">
        <f>'OECD Europe 2005'!$E$25/'OECD Europe 2005'!$L$25</f>
        <v>0.37314435392844875</v>
      </c>
      <c r="E34" s="40">
        <f>'OECD Europe 2010'!$E$25/'OECD Europe 2010'!$L$25</f>
        <v>0.37048029105685293</v>
      </c>
      <c r="F34" s="40">
        <f>'OECD Europe 2015'!$E$25/'OECD Europe 2015'!$L$25</f>
        <v>0.35984974335677139</v>
      </c>
      <c r="G34" s="40">
        <f>'OECD Europe 2018'!$E$25/'OECD Europe 2018'!$L$25</f>
        <v>0.37573020337516227</v>
      </c>
      <c r="H34" s="77">
        <f t="shared" si="0"/>
        <v>0.37573020337516227</v>
      </c>
      <c r="I34" s="77">
        <f t="shared" si="0"/>
        <v>0.37573020337516227</v>
      </c>
    </row>
    <row r="35" spans="1:9" x14ac:dyDescent="0.35">
      <c r="A35" s="30" t="s">
        <v>145</v>
      </c>
      <c r="B35" s="40">
        <f>'OECD Europe 1995'!$H$25/'OECD Europe 1995'!$L$25</f>
        <v>2.9986257688356392E-3</v>
      </c>
      <c r="C35" s="40">
        <f>'OECD Europe 2000'!$H$25/'OECD Europe 2000'!$L$25</f>
        <v>4.3015272063386782E-3</v>
      </c>
      <c r="D35" s="40">
        <f>'OECD Europe 2005'!$H$25/'OECD Europe 2005'!$L$25</f>
        <v>5.6282818864405951E-3</v>
      </c>
      <c r="E35" s="40">
        <f>'OECD Europe 2010'!$H$25/'OECD Europe 2010'!$L$25</f>
        <v>9.0069338625276118E-3</v>
      </c>
      <c r="F35" s="40">
        <f>'OECD Europe 2015'!$H$25/'OECD Europe 2015'!$L$25</f>
        <v>1.2801649025976228E-2</v>
      </c>
      <c r="G35" s="40">
        <f>'OECD Europe 2018'!$H$25/'OECD Europe 2018'!$L$25</f>
        <v>1.3650746430116833E-2</v>
      </c>
      <c r="H35" s="77">
        <f t="shared" si="0"/>
        <v>1.3650746430116833E-2</v>
      </c>
      <c r="I35" s="77">
        <f t="shared" si="0"/>
        <v>1.3650746430116833E-2</v>
      </c>
    </row>
    <row r="36" spans="1:9" x14ac:dyDescent="0.35">
      <c r="A36" s="30" t="s">
        <v>146</v>
      </c>
      <c r="B36" s="40">
        <f>'OECD Europe 1995'!$I$25/'OECD Europe 1995'!$L$25</f>
        <v>0.10720337287027525</v>
      </c>
      <c r="C36" s="40">
        <f>'OECD Europe 2000'!$I$25/'OECD Europe 2000'!$L$25</f>
        <v>0.10827699208321978</v>
      </c>
      <c r="D36" s="40">
        <f>'OECD Europe 2005'!$I$25/'OECD Europe 2005'!$L$25</f>
        <v>0.11182031211660205</v>
      </c>
      <c r="E36" s="40">
        <f>'OECD Europe 2010'!$I$25/'OECD Europe 2010'!$L$25</f>
        <v>0.13488547905075776</v>
      </c>
      <c r="F36" s="40">
        <f>'OECD Europe 2015'!$I$25/'OECD Europe 2015'!$L$25</f>
        <v>0.14345237691634855</v>
      </c>
      <c r="G36" s="40">
        <f>'OECD Europe 2018'!$I$25/'OECD Europe 2018'!$L$25</f>
        <v>0.1360510871916919</v>
      </c>
      <c r="H36" s="77">
        <f t="shared" si="0"/>
        <v>0.1360510871916919</v>
      </c>
      <c r="I36" s="77">
        <f t="shared" si="0"/>
        <v>0.1360510871916919</v>
      </c>
    </row>
    <row r="37" spans="1:9" x14ac:dyDescent="0.35">
      <c r="A37" s="30" t="s">
        <v>147</v>
      </c>
      <c r="B37" s="40">
        <f>'OECD Europe 1995'!$J$25/'OECD Europe 1995'!$L$25</f>
        <v>0.20006404184066923</v>
      </c>
      <c r="C37" s="40">
        <f>'OECD Europe 2000'!$J$25/'OECD Europe 2000'!$L$25</f>
        <v>0.21671488098560795</v>
      </c>
      <c r="D37" s="40">
        <f>'OECD Europe 2005'!$J$25/'OECD Europe 2005'!$L$25</f>
        <v>0.22640415664720029</v>
      </c>
      <c r="E37" s="40">
        <f>'OECD Europe 2010'!$J$25/'OECD Europe 2010'!$L$25</f>
        <v>0.23339475766918269</v>
      </c>
      <c r="F37" s="40">
        <f>'OECD Europe 2015'!$J$25/'OECD Europe 2015'!$L$25</f>
        <v>0.25458872668343718</v>
      </c>
      <c r="G37" s="40">
        <f>'OECD Europe 2018'!$J$25/'OECD Europe 2018'!$L$25</f>
        <v>0.25958053872782344</v>
      </c>
      <c r="H37" s="89">
        <f>1-H38-H36-H35-H34-H33-H32</f>
        <v>0.25957715815664212</v>
      </c>
      <c r="I37" s="89">
        <f>1-I38-I36-I35-I34-I33-I32</f>
        <v>0.25957715815664212</v>
      </c>
    </row>
    <row r="38" spans="1:9" x14ac:dyDescent="0.35">
      <c r="A38" s="30" t="s">
        <v>148</v>
      </c>
      <c r="B38" s="40">
        <f>'OECD Europe 1995'!$K$25/'OECD Europe 1995'!$L$25</f>
        <v>7.7240463769662843E-2</v>
      </c>
      <c r="C38" s="40">
        <f>'OECD Europe 2000'!$K$25/'OECD Europe 2000'!$L$25</f>
        <v>6.7146511330091321E-2</v>
      </c>
      <c r="D38" s="40">
        <f>'OECD Europe 2005'!$K$25/'OECD Europe 2005'!$L$25</f>
        <v>6.3487633115767772E-2</v>
      </c>
      <c r="E38" s="40">
        <f>'OECD Europe 2010'!$K$25/'OECD Europe 2010'!$L$25</f>
        <v>6.690822967976659E-2</v>
      </c>
      <c r="F38" s="40">
        <f>'OECD Europe 2015'!$K$25/'OECD Europe 2015'!$L$25</f>
        <v>7.0202263342396654E-2</v>
      </c>
      <c r="G38" s="40">
        <f>'OECD Europe 2018'!$K$25/'OECD Europe 2018'!$L$25</f>
        <v>7.1042703375162261E-2</v>
      </c>
      <c r="H38" s="88">
        <f t="shared" si="0"/>
        <v>7.1042703375162261E-2</v>
      </c>
      <c r="I38" s="88">
        <f t="shared" si="0"/>
        <v>7.1042703375162261E-2</v>
      </c>
    </row>
    <row r="39" spans="1:9" x14ac:dyDescent="0.35">
      <c r="A39" s="31" t="s">
        <v>151</v>
      </c>
      <c r="B39" s="81"/>
      <c r="C39" s="81"/>
      <c r="D39" s="81"/>
      <c r="E39" s="81"/>
      <c r="F39" s="81"/>
      <c r="G39" s="81"/>
      <c r="H39" s="42"/>
      <c r="I39" s="42"/>
    </row>
    <row r="40" spans="1:9" x14ac:dyDescent="0.35">
      <c r="A40" s="30" t="s">
        <v>141</v>
      </c>
      <c r="B40" s="40">
        <f>'OECD Europe 1995'!$B$26/'OECD Europe 1995'!$L$26</f>
        <v>3.8218632939272336E-2</v>
      </c>
      <c r="C40" s="40">
        <f>'OECD Europe 2000'!$B$26/'OECD Europe 2000'!$L$26</f>
        <v>1.5354860937108495E-2</v>
      </c>
      <c r="D40" s="40">
        <f>'OECD Europe 2005'!$B$26/'OECD Europe 2005'!$L$26</f>
        <v>9.2316619629150953E-3</v>
      </c>
      <c r="E40" s="40">
        <f>'OECD Europe 2010'!$B$26/'OECD Europe 2010'!$L$26</f>
        <v>3.3706061740944843E-2</v>
      </c>
      <c r="F40" s="40">
        <f>'OECD Europe 2015'!$B$26/'OECD Europe 2015'!$L$26</f>
        <v>3.060111345170027E-2</v>
      </c>
      <c r="G40" s="40">
        <f>'OECD Europe 2018'!$B$26/'OECD Europe 2018'!$L$26</f>
        <v>1.7733598902974008E-2</v>
      </c>
      <c r="H40" s="77">
        <f t="shared" si="0"/>
        <v>1.7733598902974008E-2</v>
      </c>
      <c r="I40" s="77">
        <f t="shared" si="0"/>
        <v>1.7733598902974008E-2</v>
      </c>
    </row>
    <row r="41" spans="1:9" x14ac:dyDescent="0.35">
      <c r="A41" s="30" t="s">
        <v>143</v>
      </c>
      <c r="B41" s="40">
        <f>'OECD Europe 1995'!$D$26/'OECD Europe 1995'!$L$26</f>
        <v>0.21714791053118979</v>
      </c>
      <c r="C41" s="40">
        <f>'OECD Europe 2000'!$D$26/'OECD Europe 2000'!$L$26</f>
        <v>0.18525275620145326</v>
      </c>
      <c r="D41" s="40">
        <f>'OECD Europe 2005'!$D$26/'OECD Europe 2005'!$L$26</f>
        <v>0.15796033022973649</v>
      </c>
      <c r="E41" s="40">
        <f>'OECD Europe 2010'!$D$26/'OECD Europe 2010'!$L$26</f>
        <v>0.11559930804487008</v>
      </c>
      <c r="F41" s="40">
        <f>'OECD Europe 2015'!$D$26/'OECD Europe 2015'!$L$26</f>
        <v>0.1067810211656134</v>
      </c>
      <c r="G41" s="40">
        <f>'OECD Europe 2018'!$D$26/'OECD Europe 2018'!$L$26</f>
        <v>9.1125134180922426E-2</v>
      </c>
      <c r="H41" s="77">
        <f t="shared" si="0"/>
        <v>9.1125134180922426E-2</v>
      </c>
      <c r="I41" s="77">
        <f t="shared" si="0"/>
        <v>9.1125134180922426E-2</v>
      </c>
    </row>
    <row r="42" spans="1:9" x14ac:dyDescent="0.35">
      <c r="A42" s="30" t="s">
        <v>241</v>
      </c>
      <c r="B42" s="40">
        <f>'OECD Europe 1995'!$E$26/'OECD Europe 1995'!$L$26</f>
        <v>0.29361854784211977</v>
      </c>
      <c r="C42" s="40">
        <f>'OECD Europe 2000'!$E$26/'OECD Europe 2000'!$L$26</f>
        <v>0.27381921824104233</v>
      </c>
      <c r="D42" s="40">
        <f>'OECD Europe 2005'!$E$26/'OECD Europe 2005'!$L$26</f>
        <v>0.29838050272993433</v>
      </c>
      <c r="E42" s="40">
        <f>'OECD Europe 2010'!$E$26/'OECD Europe 2010'!$L$26</f>
        <v>0.28762506018939599</v>
      </c>
      <c r="F42" s="40">
        <f>'OECD Europe 2015'!$E$26/'OECD Europe 2015'!$L$26</f>
        <v>0.29224345470959978</v>
      </c>
      <c r="G42" s="40">
        <f>'OECD Europe 2018'!$E$26/'OECD Europe 2018'!$L$26</f>
        <v>0.30439368837760528</v>
      </c>
      <c r="H42" s="77">
        <f t="shared" si="0"/>
        <v>0.30439368837760528</v>
      </c>
      <c r="I42" s="77">
        <f t="shared" si="0"/>
        <v>0.30439368837760528</v>
      </c>
    </row>
    <row r="43" spans="1:9" x14ac:dyDescent="0.35">
      <c r="A43" s="30" t="s">
        <v>145</v>
      </c>
      <c r="B43" s="40">
        <f>'OECD Europe 1995'!$H$26/'OECD Europe 1995'!$L$26</f>
        <v>1.2430858563526692E-3</v>
      </c>
      <c r="C43" s="40">
        <f>'OECD Europe 2000'!$H$26/'OECD Europe 2000'!$L$26</f>
        <v>2.4821473314958656E-3</v>
      </c>
      <c r="D43" s="40">
        <f>'OECD Europe 2005'!$H$26/'OECD Europe 2005'!$L$26</f>
        <v>2.6112415266531267E-3</v>
      </c>
      <c r="E43" s="40">
        <f>'OECD Europe 2010'!$H$26/'OECD Europe 2010'!$L$26</f>
        <v>2.8058661625618986E-3</v>
      </c>
      <c r="F43" s="40">
        <f>'OECD Europe 2015'!$H$26/'OECD Europe 2015'!$L$26</f>
        <v>3.0030594844016453E-3</v>
      </c>
      <c r="G43" s="40">
        <f>'OECD Europe 2018'!$H$26/'OECD Europe 2018'!$L$26</f>
        <v>3.3630547954555325E-3</v>
      </c>
      <c r="H43" s="77">
        <f t="shared" si="0"/>
        <v>3.3630547954555325E-3</v>
      </c>
      <c r="I43" s="77">
        <f t="shared" si="0"/>
        <v>3.3630547954555325E-3</v>
      </c>
    </row>
    <row r="44" spans="1:9" x14ac:dyDescent="0.35">
      <c r="A44" s="30" t="s">
        <v>146</v>
      </c>
      <c r="B44" s="40">
        <f>'OECD Europe 1995'!$I$26/'OECD Europe 1995'!$L$26</f>
        <v>8.9518867373584842E-3</v>
      </c>
      <c r="C44" s="40">
        <f>'OECD Europe 2000'!$I$26/'OECD Europe 2000'!$L$26</f>
        <v>1.176083688298672E-2</v>
      </c>
      <c r="D44" s="40">
        <f>'OECD Europe 2005'!$I$26/'OECD Europe 2005'!$L$26</f>
        <v>1.739508875583573E-2</v>
      </c>
      <c r="E44" s="40">
        <f>'OECD Europe 2010'!$I$26/'OECD Europe 2010'!$L$26</f>
        <v>2.466427692472313E-2</v>
      </c>
      <c r="F44" s="40">
        <f>'OECD Europe 2015'!$I$26/'OECD Europe 2015'!$L$26</f>
        <v>2.5453907112047348E-2</v>
      </c>
      <c r="G44" s="40">
        <f>'OECD Europe 2018'!$I$26/'OECD Europe 2018'!$L$26</f>
        <v>2.6854799178471486E-2</v>
      </c>
      <c r="H44" s="77">
        <f t="shared" si="0"/>
        <v>2.6854799178471486E-2</v>
      </c>
      <c r="I44" s="77">
        <f t="shared" si="0"/>
        <v>2.6854799178471486E-2</v>
      </c>
    </row>
    <row r="45" spans="1:9" x14ac:dyDescent="0.35">
      <c r="A45" s="30" t="s">
        <v>147</v>
      </c>
      <c r="B45" s="40">
        <f>'OECD Europe 1995'!$J$26/'OECD Europe 1995'!$L$26</f>
        <v>0.39893878845014724</v>
      </c>
      <c r="C45" s="40">
        <f>'OECD Europe 2000'!$J$26/'OECD Europe 2000'!$L$26</f>
        <v>0.45758425206715109</v>
      </c>
      <c r="D45" s="40">
        <f>'OECD Europe 2005'!$J$26/'OECD Europe 2005'!$L$26</f>
        <v>0.450604014454145</v>
      </c>
      <c r="E45" s="40">
        <f>'OECD Europe 2010'!$J$26/'OECD Europe 2010'!$L$26</f>
        <v>0.46226645028207275</v>
      </c>
      <c r="F45" s="40">
        <f>'OECD Europe 2015'!$J$26/'OECD Europe 2015'!$L$26</f>
        <v>0.4850411274952352</v>
      </c>
      <c r="G45" s="40">
        <f>'OECD Europe 2018'!$J$26/'OECD Europe 2018'!$L$26</f>
        <v>0.49232764344173291</v>
      </c>
      <c r="H45" s="89">
        <f>1-H46-H44-H43-H42-H41-H40</f>
        <v>0.49233384833987959</v>
      </c>
      <c r="I45" s="89">
        <f>1-I46-I44-I43-I42-I41-I40</f>
        <v>0.49233384833987959</v>
      </c>
    </row>
    <row r="46" spans="1:9" x14ac:dyDescent="0.35">
      <c r="A46" s="30" t="s">
        <v>148</v>
      </c>
      <c r="B46" s="40">
        <f>'OECD Europe 1995'!$K$26/'OECD Europe 1995'!$L$26</f>
        <v>4.1881147643559734E-2</v>
      </c>
      <c r="C46" s="40">
        <f>'OECD Europe 2000'!$K$26/'OECD Europe 2000'!$L$26</f>
        <v>5.3738098220997246E-2</v>
      </c>
      <c r="D46" s="40">
        <f>'OECD Europe 2005'!$K$26/'OECD Europe 2005'!$L$26</f>
        <v>6.3823754385039427E-2</v>
      </c>
      <c r="E46" s="40">
        <f>'OECD Europe 2010'!$K$26/'OECD Europe 2010'!$L$26</f>
        <v>7.3332976655431314E-2</v>
      </c>
      <c r="F46" s="40">
        <f>'OECD Europe 2015'!$K$26/'OECD Europe 2015'!$L$26</f>
        <v>5.6876316581402346E-2</v>
      </c>
      <c r="G46" s="40">
        <f>'OECD Europe 2018'!$K$26/'OECD Europe 2018'!$L$26</f>
        <v>6.4195876224691778E-2</v>
      </c>
      <c r="H46" s="77">
        <f t="shared" si="0"/>
        <v>6.4195876224691778E-2</v>
      </c>
      <c r="I46" s="77">
        <f t="shared" si="0"/>
        <v>6.4195876224691778E-2</v>
      </c>
    </row>
    <row r="47" spans="1:9" x14ac:dyDescent="0.35">
      <c r="A47" s="31" t="s">
        <v>152</v>
      </c>
      <c r="B47" s="81"/>
      <c r="C47" s="81"/>
      <c r="D47" s="81"/>
      <c r="E47" s="81"/>
      <c r="F47" s="81"/>
      <c r="G47" s="81"/>
      <c r="H47" s="42"/>
      <c r="I47" s="42"/>
    </row>
    <row r="48" spans="1:9" x14ac:dyDescent="0.35">
      <c r="A48" s="30" t="s">
        <v>141</v>
      </c>
      <c r="B48" s="40">
        <f>'OECD Europe 1995'!$B$27/'OECD Europe 1995'!$L$27</f>
        <v>5.8950373564963861E-2</v>
      </c>
      <c r="C48" s="40">
        <f>'OECD Europe 2000'!$B$27/'OECD Europe 2000'!$L$27</f>
        <v>3.5534166199690145E-2</v>
      </c>
      <c r="D48" s="40">
        <f>'OECD Europe 2005'!$B$27/'OECD Europe 2005'!$L$27</f>
        <v>3.4642106963968328E-2</v>
      </c>
      <c r="E48" s="40">
        <f>'OECD Europe 2010'!$B$27/'OECD Europe 2010'!$L$27</f>
        <v>4.2185383474166289E-2</v>
      </c>
      <c r="F48" s="40">
        <f>'OECD Europe 2015'!$B$27/'OECD Europe 2015'!$L$27</f>
        <v>3.5418210039863125E-2</v>
      </c>
      <c r="G48" s="40">
        <f>'OECD Europe 2018'!$B$27/'OECD Europe 2018'!$L$27</f>
        <v>3.1632935106415648E-2</v>
      </c>
      <c r="H48" s="77">
        <f t="shared" si="0"/>
        <v>3.1632935106415648E-2</v>
      </c>
      <c r="I48" s="77">
        <f t="shared" si="0"/>
        <v>3.1632935106415648E-2</v>
      </c>
    </row>
    <row r="49" spans="1:9" x14ac:dyDescent="0.35">
      <c r="A49" s="30" t="s">
        <v>143</v>
      </c>
      <c r="B49" s="40">
        <f>'OECD Europe 1995'!$D$27/'OECD Europe 1995'!$L$27</f>
        <v>0.65039786187207682</v>
      </c>
      <c r="C49" s="40">
        <f>'OECD Europe 2000'!$D$27/'OECD Europe 2000'!$L$27</f>
        <v>0.63559349968685108</v>
      </c>
      <c r="D49" s="40">
        <f>'OECD Europe 2005'!$D$27/'OECD Europe 2005'!$L$27</f>
        <v>0.6224592018096623</v>
      </c>
      <c r="E49" s="40">
        <f>'OECD Europe 2010'!$D$27/'OECD Europe 2010'!$L$27</f>
        <v>0.57482422756885765</v>
      </c>
      <c r="F49" s="40">
        <f>'OECD Europe 2015'!$D$27/'OECD Europe 2015'!$L$27</f>
        <v>0.53289589727308007</v>
      </c>
      <c r="G49" s="40">
        <f>'OECD Europe 2018'!$D$27/'OECD Europe 2018'!$L$27</f>
        <v>0.56610669205491226</v>
      </c>
      <c r="H49" s="77">
        <f t="shared" si="0"/>
        <v>0.56610669205491226</v>
      </c>
      <c r="I49" s="77">
        <f t="shared" si="0"/>
        <v>0.56610669205491226</v>
      </c>
    </row>
    <row r="50" spans="1:9" x14ac:dyDescent="0.35">
      <c r="A50" s="30" t="s">
        <v>241</v>
      </c>
      <c r="B50" s="40">
        <f>'OECD Europe 1995'!$E$27/'OECD Europe 1995'!$L$27</f>
        <v>0.13202332503188968</v>
      </c>
      <c r="C50" s="40">
        <f>'OECD Europe 2000'!$E$27/'OECD Europe 2000'!$L$27</f>
        <v>0.14190592345980158</v>
      </c>
      <c r="D50" s="40">
        <f>'OECD Europe 2005'!$E$27/'OECD Europe 2005'!$L$27</f>
        <v>0.14002262077880109</v>
      </c>
      <c r="E50" s="40">
        <f>'OECD Europe 2010'!$E$27/'OECD Europe 2010'!$L$27</f>
        <v>0.14106947042507903</v>
      </c>
      <c r="F50" s="40">
        <f>'OECD Europe 2015'!$E$27/'OECD Europe 2015'!$L$27</f>
        <v>0.12533954210322079</v>
      </c>
      <c r="G50" s="40">
        <f>'OECD Europe 2018'!$E$27/'OECD Europe 2018'!$L$27</f>
        <v>0.11215871748410676</v>
      </c>
      <c r="H50" s="77">
        <f t="shared" si="0"/>
        <v>0.11215871748410676</v>
      </c>
      <c r="I50" s="77">
        <f t="shared" si="0"/>
        <v>0.11215871748410676</v>
      </c>
    </row>
    <row r="51" spans="1:9" x14ac:dyDescent="0.35">
      <c r="A51" s="30" t="s">
        <v>145</v>
      </c>
      <c r="B51" s="40">
        <f>'OECD Europe 1995'!$H$27/'OECD Europe 1995'!$L$27</f>
        <v>5.7705157018769358E-4</v>
      </c>
      <c r="C51" s="40">
        <f>'OECD Europe 2000'!$H$27/'OECD Europe 2000'!$L$27</f>
        <v>1.4174110821768798E-3</v>
      </c>
      <c r="D51" s="40">
        <f>'OECD Europe 2005'!$H$27/'OECD Europe 2005'!$L$27</f>
        <v>1.9712392955243173E-3</v>
      </c>
      <c r="E51" s="40">
        <f>'OECD Europe 2010'!$H$27/'OECD Europe 2010'!$L$27</f>
        <v>2.1286202670450882E-3</v>
      </c>
      <c r="F51" s="40">
        <f>'OECD Europe 2015'!$H$27/'OECD Europe 2015'!$L$27</f>
        <v>2.5611175785797437E-2</v>
      </c>
      <c r="G51" s="40">
        <f>'OECD Europe 2018'!$H$27/'OECD Europe 2018'!$L$27</f>
        <v>2.4845674272903167E-2</v>
      </c>
      <c r="H51" s="77">
        <f t="shared" si="0"/>
        <v>2.4845674272903167E-2</v>
      </c>
      <c r="I51" s="77">
        <f t="shared" si="0"/>
        <v>2.4845674272903167E-2</v>
      </c>
    </row>
    <row r="52" spans="1:9" x14ac:dyDescent="0.35">
      <c r="A52" s="30" t="s">
        <v>146</v>
      </c>
      <c r="B52" s="40">
        <f>'OECD Europe 1995'!$I$27/'OECD Europe 1995'!$L$27</f>
        <v>3.8905424284759765E-2</v>
      </c>
      <c r="C52" s="40">
        <f>'OECD Europe 2000'!$I$27/'OECD Europe 2000'!$L$27</f>
        <v>3.9984177736757096E-2</v>
      </c>
      <c r="D52" s="40">
        <f>'OECD Europe 2005'!$I$27/'OECD Europe 2005'!$L$27</f>
        <v>5.0993698497333977E-2</v>
      </c>
      <c r="E52" s="40">
        <f>'OECD Europe 2010'!$I$27/'OECD Europe 2010'!$L$27</f>
        <v>7.3147132813003932E-2</v>
      </c>
      <c r="F52" s="40">
        <f>'OECD Europe 2015'!$I$27/'OECD Europe 2015'!$L$27</f>
        <v>8.9568561047024375E-2</v>
      </c>
      <c r="G52" s="40">
        <f>'OECD Europe 2018'!$I$27/'OECD Europe 2018'!$L$27</f>
        <v>8.6115291299407259E-2</v>
      </c>
      <c r="H52" s="77">
        <f t="shared" si="0"/>
        <v>8.6115291299407259E-2</v>
      </c>
      <c r="I52" s="77">
        <f t="shared" si="0"/>
        <v>8.6115291299407259E-2</v>
      </c>
    </row>
    <row r="53" spans="1:9" x14ac:dyDescent="0.35">
      <c r="A53" s="30" t="s">
        <v>147</v>
      </c>
      <c r="B53" s="40">
        <f>'OECD Europe 1995'!$J$27/'OECD Europe 1995'!$L$27</f>
        <v>0.10851606633055944</v>
      </c>
      <c r="C53" s="40">
        <f>'OECD Europe 2000'!$J$27/'OECD Europe 2000'!$L$27</f>
        <v>0.12937996505916868</v>
      </c>
      <c r="D53" s="40">
        <f>'OECD Europe 2005'!$J$27/'OECD Europe 2005'!$L$27</f>
        <v>0.13853611245758604</v>
      </c>
      <c r="E53" s="40">
        <f>'OECD Europe 2010'!$J$27/'OECD Europe 2010'!$L$27</f>
        <v>0.15764690705024834</v>
      </c>
      <c r="F53" s="40">
        <f>'OECD Europe 2015'!$J$27/'OECD Europe 2015'!$L$27</f>
        <v>0.18326454298514833</v>
      </c>
      <c r="G53" s="40">
        <f>'OECD Europe 2018'!$J$27/'OECD Europe 2018'!$L$27</f>
        <v>0.17167777402413931</v>
      </c>
      <c r="H53" s="89">
        <f>1-H54-H52-H51-H50-H49-H48</f>
        <v>0.17173919719910333</v>
      </c>
      <c r="I53" s="89">
        <f>1-I54-I52-I51-I50-I49-I48</f>
        <v>0.17173919719910333</v>
      </c>
    </row>
    <row r="54" spans="1:9" x14ac:dyDescent="0.35">
      <c r="A54" s="30" t="s">
        <v>148</v>
      </c>
      <c r="B54" s="40">
        <f>'OECD Europe 1995'!$K$27/'OECD Europe 1995'!$L$27</f>
        <v>1.0660268480835814E-2</v>
      </c>
      <c r="C54" s="40">
        <f>'OECD Europe 2000'!$K$27/'OECD Europe 2000'!$L$27</f>
        <v>1.6184856775554604E-2</v>
      </c>
      <c r="D54" s="40">
        <f>'OECD Europe 2005'!$K$27/'OECD Europe 2005'!$L$27</f>
        <v>1.137502019712393E-2</v>
      </c>
      <c r="E54" s="40">
        <f>'OECD Europe 2010'!$K$27/'OECD Europe 2010'!$L$27</f>
        <v>8.9982584015996896E-3</v>
      </c>
      <c r="F54" s="40">
        <f>'OECD Europe 2015'!$K$27/'OECD Europe 2015'!$L$27</f>
        <v>7.9020707658658765E-3</v>
      </c>
      <c r="G54" s="40">
        <f>'OECD Europe 2018'!$K$27/'OECD Europe 2018'!$L$27</f>
        <v>7.4014925831516233E-3</v>
      </c>
      <c r="H54" s="77">
        <f t="shared" si="0"/>
        <v>7.4014925831516233E-3</v>
      </c>
      <c r="I54" s="77">
        <f t="shared" si="0"/>
        <v>7.4014925831516233E-3</v>
      </c>
    </row>
    <row r="55" spans="1:9" x14ac:dyDescent="0.35">
      <c r="A55" s="31" t="s">
        <v>153</v>
      </c>
      <c r="B55" s="81"/>
      <c r="C55" s="81"/>
      <c r="D55" s="81"/>
      <c r="E55" s="81"/>
      <c r="F55" s="81"/>
      <c r="G55" s="81"/>
      <c r="H55" s="42"/>
      <c r="I55" s="42"/>
    </row>
    <row r="56" spans="1:9" x14ac:dyDescent="0.35">
      <c r="A56" s="30" t="s">
        <v>141</v>
      </c>
      <c r="B56" s="40">
        <f>'OECD Europe 1995'!$B$28/'OECD Europe 1995'!$L$28</f>
        <v>0</v>
      </c>
      <c r="C56" s="40">
        <f>'OECD Europe 2000'!$B$28/'OECD Europe 2000'!$L$28</f>
        <v>0</v>
      </c>
      <c r="D56" s="40">
        <f>'OECD Europe 2005'!$B$28/'OECD Europe 2005'!$L$28</f>
        <v>0</v>
      </c>
      <c r="E56" s="40">
        <f>'OECD Europe 2010'!$B$28/'OECD Europe 2010'!$L$28</f>
        <v>0</v>
      </c>
      <c r="F56" s="40">
        <f>'OECD Europe 2015'!$B$28/'OECD Europe 2015'!$L$28</f>
        <v>0</v>
      </c>
      <c r="G56" s="40">
        <f>'OECD Europe 2018'!$B$28/'OECD Europe 2018'!$L$28</f>
        <v>0</v>
      </c>
      <c r="H56" s="77">
        <f t="shared" si="0"/>
        <v>0</v>
      </c>
      <c r="I56" s="77">
        <f t="shared" si="0"/>
        <v>0</v>
      </c>
    </row>
    <row r="57" spans="1:9" x14ac:dyDescent="0.35">
      <c r="A57" s="30" t="s">
        <v>143</v>
      </c>
      <c r="B57" s="40">
        <f>'OECD Europe 1995'!$D$28/'OECD Europe 1995'!$L$28</f>
        <v>0.98965936739659366</v>
      </c>
      <c r="C57" s="40">
        <f>'OECD Europe 2000'!$D$28/'OECD Europe 2000'!$L$28</f>
        <v>0.96686608375517713</v>
      </c>
      <c r="D57" s="40">
        <f>'OECD Europe 2005'!$D$28/'OECD Europe 2005'!$L$28</f>
        <v>0.93802816901408448</v>
      </c>
      <c r="E57" s="40">
        <f>'OECD Europe 2010'!$D$28/'OECD Europe 2010'!$L$28</f>
        <v>0.89473684210526316</v>
      </c>
      <c r="F57" s="40">
        <f>'OECD Europe 2015'!$D$28/'OECD Europe 2015'!$L$28</f>
        <v>0.85563380281690138</v>
      </c>
      <c r="G57" s="40">
        <f>'OECD Europe 2018'!$D$28/'OECD Europe 2018'!$L$28</f>
        <v>0.83171677982541226</v>
      </c>
      <c r="H57" s="77">
        <f t="shared" si="0"/>
        <v>0.83171677982541226</v>
      </c>
      <c r="I57" s="77">
        <f t="shared" si="0"/>
        <v>0.83171677982541226</v>
      </c>
    </row>
    <row r="58" spans="1:9" x14ac:dyDescent="0.35">
      <c r="A58" s="30" t="s">
        <v>241</v>
      </c>
      <c r="B58" s="40">
        <f>'OECD Europe 1995'!$E$28/'OECD Europe 1995'!$L$28</f>
        <v>0</v>
      </c>
      <c r="C58" s="40">
        <f>'OECD Europe 2000'!$E$28/'OECD Europe 2000'!$L$28</f>
        <v>0</v>
      </c>
      <c r="D58" s="40">
        <f>'OECD Europe 2005'!$E$28/'OECD Europe 2005'!$L$28</f>
        <v>0</v>
      </c>
      <c r="E58" s="40">
        <f>'OECD Europe 2010'!$E$28/'OECD Europe 2010'!$L$28</f>
        <v>1.9675356615838661E-3</v>
      </c>
      <c r="F58" s="40">
        <f>'OECD Europe 2015'!$E$28/'OECD Europe 2015'!$L$28</f>
        <v>2.5653923541247486E-2</v>
      </c>
      <c r="G58" s="40">
        <f>'OECD Europe 2018'!$E$28/'OECD Europe 2018'!$L$28</f>
        <v>2.0853540252182348E-2</v>
      </c>
      <c r="H58" s="77">
        <f t="shared" si="0"/>
        <v>2.0853540252182348E-2</v>
      </c>
      <c r="I58" s="77">
        <f t="shared" si="0"/>
        <v>2.0853540252182348E-2</v>
      </c>
    </row>
    <row r="59" spans="1:9" x14ac:dyDescent="0.35">
      <c r="A59" s="30" t="s">
        <v>145</v>
      </c>
      <c r="B59" s="40">
        <f>'OECD Europe 1995'!$H$28/'OECD Europe 1995'!$L$28</f>
        <v>6.6909975669099753E-3</v>
      </c>
      <c r="C59" s="40">
        <f>'OECD Europe 2000'!$H$28/'OECD Europe 2000'!$L$28</f>
        <v>3.0832949838932353E-2</v>
      </c>
      <c r="D59" s="40">
        <f>'OECD Europe 2005'!$H$28/'OECD Europe 2005'!$L$28</f>
        <v>3.7558685446009391E-2</v>
      </c>
      <c r="E59" s="40">
        <f>'OECD Europe 2010'!$H$28/'OECD Europe 2010'!$L$28</f>
        <v>2.7545499262174127E-2</v>
      </c>
      <c r="F59" s="40">
        <f>'OECD Europe 2015'!$H$28/'OECD Europe 2015'!$L$28</f>
        <v>2.0120724346076459E-2</v>
      </c>
      <c r="G59" s="40">
        <f>'OECD Europe 2018'!$H$28/'OECD Europe 2018'!$L$28</f>
        <v>2.667313288069835E-2</v>
      </c>
      <c r="H59" s="77">
        <f t="shared" si="0"/>
        <v>2.667313288069835E-2</v>
      </c>
      <c r="I59" s="77">
        <f t="shared" si="0"/>
        <v>2.667313288069835E-2</v>
      </c>
    </row>
    <row r="60" spans="1:9" x14ac:dyDescent="0.35">
      <c r="A60" s="30" t="s">
        <v>146</v>
      </c>
      <c r="B60" s="40">
        <f>'OECD Europe 1995'!$I$28/'OECD Europe 1995'!$L$28</f>
        <v>0</v>
      </c>
      <c r="C60" s="40">
        <f>'OECD Europe 2000'!$I$28/'OECD Europe 2000'!$L$28</f>
        <v>0</v>
      </c>
      <c r="D60" s="40">
        <f>'OECD Europe 2005'!$I$28/'OECD Europe 2005'!$L$28</f>
        <v>0</v>
      </c>
      <c r="E60" s="40">
        <f>'OECD Europe 2010'!$I$28/'OECD Europe 2010'!$L$28</f>
        <v>1.9675356615838661E-3</v>
      </c>
      <c r="F60" s="40">
        <f>'OECD Europe 2015'!$I$28/'OECD Europe 2015'!$L$28</f>
        <v>7.0422535211267607E-3</v>
      </c>
      <c r="G60" s="40">
        <f>'OECD Europe 2018'!$I$28/'OECD Europe 2018'!$L$28</f>
        <v>8.7293889427740058E-3</v>
      </c>
      <c r="H60" s="77">
        <f t="shared" si="0"/>
        <v>8.7293889427740058E-3</v>
      </c>
      <c r="I60" s="77">
        <f t="shared" si="0"/>
        <v>8.7293889427740058E-3</v>
      </c>
    </row>
    <row r="61" spans="1:9" x14ac:dyDescent="0.35">
      <c r="A61" s="30" t="s">
        <v>147</v>
      </c>
      <c r="B61" s="40">
        <f>'OECD Europe 1995'!$J$28/'OECD Europe 1995'!$L$28</f>
        <v>1.2165450121654502E-3</v>
      </c>
      <c r="C61" s="40">
        <f>'OECD Europe 2000'!$J$28/'OECD Europe 2000'!$L$28</f>
        <v>9.2038656235618964E-4</v>
      </c>
      <c r="D61" s="40">
        <f>'OECD Europe 2005'!$J$28/'OECD Europe 2005'!$L$28</f>
        <v>2.2535211267605635E-2</v>
      </c>
      <c r="E61" s="40">
        <f>'OECD Europe 2010'!$J$28/'OECD Europe 2010'!$L$28</f>
        <v>7.1323167732415149E-2</v>
      </c>
      <c r="F61" s="40">
        <f>'OECD Europe 2015'!$J$28/'OECD Europe 2015'!$L$28</f>
        <v>8.0482897384305835E-2</v>
      </c>
      <c r="G61" s="40">
        <f>'OECD Europe 2018'!$J$28/'OECD Europe 2018'!$L$28</f>
        <v>9.2143549951503395E-2</v>
      </c>
      <c r="H61" s="89">
        <f>1-H62-H60-H59-H58-H57-H56</f>
        <v>9.2143549951503312E-2</v>
      </c>
      <c r="I61" s="89">
        <f>1-I62-I60-I59-I58-I57-I56</f>
        <v>9.2143549951503312E-2</v>
      </c>
    </row>
    <row r="62" spans="1:9" x14ac:dyDescent="0.35">
      <c r="A62" s="30" t="s">
        <v>148</v>
      </c>
      <c r="B62" s="40">
        <f>'OECD Europe 1995'!$K$28/'OECD Europe 1995'!$L$28</f>
        <v>1.8248175182481751E-3</v>
      </c>
      <c r="C62" s="40">
        <f>'OECD Europe 2000'!$K$28/'OECD Europe 2000'!$L$28</f>
        <v>1.8407731247123793E-3</v>
      </c>
      <c r="D62" s="40">
        <f>'OECD Europe 2005'!$K$28/'OECD Europe 2005'!$L$28</f>
        <v>2.3474178403755869E-3</v>
      </c>
      <c r="E62" s="40">
        <f>'OECD Europe 2010'!$K$28/'OECD Europe 2010'!$L$28</f>
        <v>1.9675356615838661E-3</v>
      </c>
      <c r="F62" s="40">
        <f>'OECD Europe 2015'!$K$28/'OECD Europe 2015'!$L$28</f>
        <v>1.1066398390342052E-2</v>
      </c>
      <c r="G62" s="40">
        <f>'OECD Europe 2018'!$K$28/'OECD Europe 2018'!$L$28</f>
        <v>1.988360814742968E-2</v>
      </c>
      <c r="H62" s="77">
        <f t="shared" si="0"/>
        <v>1.988360814742968E-2</v>
      </c>
      <c r="I62" s="77">
        <f t="shared" si="0"/>
        <v>1.988360814742968E-2</v>
      </c>
    </row>
    <row r="63" spans="1:9" x14ac:dyDescent="0.35">
      <c r="A63" s="31" t="s">
        <v>154</v>
      </c>
      <c r="B63" s="81"/>
      <c r="C63" s="81"/>
      <c r="D63" s="81"/>
      <c r="E63" s="81"/>
      <c r="F63" s="81"/>
      <c r="G63" s="81"/>
      <c r="H63" s="42"/>
      <c r="I63" s="42"/>
    </row>
    <row r="64" spans="1:9" x14ac:dyDescent="0.35">
      <c r="A64" s="30" t="s">
        <v>141</v>
      </c>
      <c r="B64" s="40">
        <f>'OECD Europe 1995'!$B$29/'OECD Europe 1995'!$L$29</f>
        <v>4.8979226361031518E-2</v>
      </c>
      <c r="C64" s="40">
        <f>'OECD Europe 2000'!$B$29/'OECD Europe 2000'!$L$29</f>
        <v>2.4835235492686063E-2</v>
      </c>
      <c r="D64" s="40">
        <f>'OECD Europe 2005'!$B$29/'OECD Europe 2005'!$L$29</f>
        <v>1.2466607301869992E-2</v>
      </c>
      <c r="E64" s="40">
        <f>'OECD Europe 2010'!$B$29/'OECD Europe 2010'!$L$29</f>
        <v>2.2189658781662132E-2</v>
      </c>
      <c r="F64" s="40">
        <f>'OECD Europe 2015'!$B$29/'OECD Europe 2015'!$L$29</f>
        <v>1.0039040713887339E-2</v>
      </c>
      <c r="G64" s="40">
        <f>'OECD Europe 2018'!$B$29/'OECD Europe 2018'!$L$29</f>
        <v>4.679268670591881E-2</v>
      </c>
      <c r="H64" s="77">
        <f t="shared" si="0"/>
        <v>4.679268670591881E-2</v>
      </c>
      <c r="I64" s="77">
        <f t="shared" si="0"/>
        <v>4.679268670591881E-2</v>
      </c>
    </row>
    <row r="65" spans="1:9" x14ac:dyDescent="0.35">
      <c r="A65" s="30" t="s">
        <v>143</v>
      </c>
      <c r="B65" s="40">
        <f>'OECD Europe 1995'!$D$29/'OECD Europe 1995'!$L$29</f>
        <v>0.20522922636103152</v>
      </c>
      <c r="C65" s="40">
        <f>'OECD Europe 2000'!$D$29/'OECD Europe 2000'!$L$29</f>
        <v>0.14901141295611639</v>
      </c>
      <c r="D65" s="40">
        <f>'OECD Europe 2005'!$D$29/'OECD Europe 2005'!$L$29</f>
        <v>0.28561887800534286</v>
      </c>
      <c r="E65" s="40">
        <f>'OECD Europe 2010'!$D$29/'OECD Europe 2010'!$L$29</f>
        <v>0.41239271509315473</v>
      </c>
      <c r="F65" s="40">
        <f>'OECD Europe 2015'!$D$29/'OECD Europe 2015'!$L$29</f>
        <v>0.5769659788064696</v>
      </c>
      <c r="G65" s="40">
        <f>'OECD Europe 2018'!$D$29/'OECD Europe 2018'!$L$29</f>
        <v>0.57793616361946076</v>
      </c>
      <c r="H65" s="77">
        <f t="shared" si="0"/>
        <v>0.57793616361946076</v>
      </c>
      <c r="I65" s="77">
        <f t="shared" si="0"/>
        <v>0.57793616361946076</v>
      </c>
    </row>
    <row r="66" spans="1:9" x14ac:dyDescent="0.35">
      <c r="A66" s="30" t="s">
        <v>241</v>
      </c>
      <c r="B66" s="40">
        <f>'OECD Europe 1995'!$E$29/'OECD Europe 1995'!$L$29</f>
        <v>0.50259670487106012</v>
      </c>
      <c r="C66" s="40">
        <f>'OECD Europe 2000'!$E$29/'OECD Europe 2000'!$L$29</f>
        <v>0.52692493168300913</v>
      </c>
      <c r="D66" s="40">
        <f>'OECD Europe 2005'!$E$29/'OECD Europe 2005'!$L$29</f>
        <v>0.20670080142475511</v>
      </c>
      <c r="E66" s="40">
        <f>'OECD Europe 2010'!$E$29/'OECD Europe 2010'!$L$29</f>
        <v>0.40339124973832952</v>
      </c>
      <c r="F66" s="40">
        <f>'OECD Europe 2015'!$E$29/'OECD Europe 2015'!$L$29</f>
        <v>0.2969882877858338</v>
      </c>
      <c r="G66" s="40">
        <f>'OECD Europe 2018'!$E$29/'OECD Europe 2018'!$L$29</f>
        <v>0.29408118995971488</v>
      </c>
      <c r="H66" s="77">
        <f t="shared" si="0"/>
        <v>0.29408118995971488</v>
      </c>
      <c r="I66" s="77">
        <f t="shared" si="0"/>
        <v>0.29408118995971488</v>
      </c>
    </row>
    <row r="67" spans="1:9" x14ac:dyDescent="0.35">
      <c r="A67" s="30" t="s">
        <v>145</v>
      </c>
      <c r="B67" s="40">
        <f>'OECD Europe 1995'!$H$29/'OECD Europe 1995'!$L$29</f>
        <v>2.0057306590257881E-2</v>
      </c>
      <c r="C67" s="40">
        <f>'OECD Europe 2000'!$H$29/'OECD Europe 2000'!$L$29</f>
        <v>9.6447516476450728E-4</v>
      </c>
      <c r="D67" s="40">
        <f>'OECD Europe 2005'!$H$29/'OECD Europe 2005'!$L$29</f>
        <v>3.3392698130008903E-3</v>
      </c>
      <c r="E67" s="40">
        <f>'OECD Europe 2010'!$H$29/'OECD Europe 2010'!$L$29</f>
        <v>2.0933640360058616E-4</v>
      </c>
      <c r="F67" s="40">
        <f>'OECD Europe 2015'!$H$29/'OECD Europe 2015'!$L$29</f>
        <v>1.3943112102621305E-3</v>
      </c>
      <c r="G67" s="40">
        <f>'OECD Europe 2018'!$H$29/'OECD Europe 2018'!$L$29</f>
        <v>1.8593120545398203E-3</v>
      </c>
      <c r="H67" s="77">
        <f t="shared" si="0"/>
        <v>1.8593120545398203E-3</v>
      </c>
      <c r="I67" s="77">
        <f t="shared" si="0"/>
        <v>1.8593120545398203E-3</v>
      </c>
    </row>
    <row r="68" spans="1:9" x14ac:dyDescent="0.35">
      <c r="A68" s="30" t="s">
        <v>146</v>
      </c>
      <c r="B68" s="40">
        <f>'OECD Europe 1995'!$I$29/'OECD Europe 1995'!$L$29</f>
        <v>7.1633237822349575E-3</v>
      </c>
      <c r="C68" s="40">
        <f>'OECD Europe 2000'!$I$29/'OECD Europe 2000'!$L$29</f>
        <v>2.2504420511171839E-3</v>
      </c>
      <c r="D68" s="40">
        <f>'OECD Europe 2005'!$I$29/'OECD Europe 2005'!$L$29</f>
        <v>7.7916295636687449E-4</v>
      </c>
      <c r="E68" s="40">
        <f>'OECD Europe 2010'!$I$29/'OECD Europe 2010'!$L$29</f>
        <v>6.2800921080175844E-4</v>
      </c>
      <c r="F68" s="40">
        <f>'OECD Europe 2015'!$I$29/'OECD Europe 2015'!$L$29</f>
        <v>8.3658672615727835E-4</v>
      </c>
      <c r="G68" s="40">
        <f>'OECD Europe 2018'!$I$29/'OECD Europe 2018'!$L$29</f>
        <v>6.1977068484660679E-4</v>
      </c>
      <c r="H68" s="77">
        <f t="shared" si="0"/>
        <v>6.1977068484660679E-4</v>
      </c>
      <c r="I68" s="77">
        <f t="shared" si="0"/>
        <v>6.1977068484660679E-4</v>
      </c>
    </row>
    <row r="69" spans="1:9" x14ac:dyDescent="0.35">
      <c r="A69" s="30" t="s">
        <v>147</v>
      </c>
      <c r="B69" s="40">
        <f>'OECD Europe 1995'!$J$29/'OECD Europe 1995'!$L$29</f>
        <v>0.10118194842406877</v>
      </c>
      <c r="C69" s="40">
        <f>'OECD Europe 2000'!$J$29/'OECD Europe 2000'!$L$29</f>
        <v>3.2711782671596204E-2</v>
      </c>
      <c r="D69" s="40">
        <f>'OECD Europe 2005'!$J$29/'OECD Europe 2005'!$L$29</f>
        <v>2.348619768477293E-2</v>
      </c>
      <c r="E69" s="40">
        <f>'OECD Europe 2010'!$J$29/'OECD Europe 2010'!$L$29</f>
        <v>0.1314632614611681</v>
      </c>
      <c r="F69" s="40">
        <f>'OECD Europe 2015'!$J$29/'OECD Europe 2015'!$L$29</f>
        <v>7.0273284997211374E-2</v>
      </c>
      <c r="G69" s="40">
        <f>'OECD Europe 2018'!$J$29/'OECD Europe 2018'!$L$29</f>
        <v>5.7328788348311122E-2</v>
      </c>
      <c r="H69" s="89">
        <f>1-H70-H68-H67-H66-H65-H64</f>
        <v>5.7328788348311163E-2</v>
      </c>
      <c r="I69" s="89">
        <f>1-I70-I68-I67-I66-I65-I64</f>
        <v>5.7328788348311163E-2</v>
      </c>
    </row>
    <row r="70" spans="1:9" x14ac:dyDescent="0.35">
      <c r="A70" s="30" t="s">
        <v>148</v>
      </c>
      <c r="B70" s="40">
        <f>'OECD Europe 1995'!$K$29/'OECD Europe 1995'!$L$29</f>
        <v>0.11470272206303725</v>
      </c>
      <c r="C70" s="40">
        <f>'OECD Europe 2000'!$K$29/'OECD Europe 2000'!$L$29</f>
        <v>0.2633017199807105</v>
      </c>
      <c r="D70" s="40">
        <f>'OECD Europe 2005'!$K$29/'OECD Europe 2005'!$L$29</f>
        <v>0.46749777382012464</v>
      </c>
      <c r="E70" s="40">
        <f>'OECD Europe 2010'!$K$29/'OECD Europe 2010'!$L$29</f>
        <v>2.9725769311283231E-2</v>
      </c>
      <c r="F70" s="40">
        <f>'OECD Europe 2015'!$K$29/'OECD Europe 2015'!$L$29</f>
        <v>4.350250976017847E-2</v>
      </c>
      <c r="G70" s="40">
        <f>'OECD Europe 2018'!$K$29/'OECD Europe 2018'!$L$29</f>
        <v>2.1382088627207932E-2</v>
      </c>
      <c r="H70" s="77">
        <f t="shared" ref="H70:I132" si="1">G70</f>
        <v>2.1382088627207932E-2</v>
      </c>
      <c r="I70" s="77">
        <f t="shared" si="1"/>
        <v>2.1382088627207932E-2</v>
      </c>
    </row>
    <row r="71" spans="1:9" x14ac:dyDescent="0.35">
      <c r="A71" s="38" t="s">
        <v>155</v>
      </c>
      <c r="B71" s="42"/>
      <c r="C71" s="42"/>
      <c r="D71" s="42"/>
      <c r="E71" s="42"/>
      <c r="F71" s="42"/>
      <c r="G71" s="42"/>
      <c r="H71" s="42"/>
      <c r="I71" s="42"/>
    </row>
    <row r="72" spans="1:9" x14ac:dyDescent="0.35">
      <c r="A72" s="30" t="s">
        <v>147</v>
      </c>
      <c r="B72" s="40">
        <f>'OECD Europe 1995'!$J21/IF('OECD Europe 1995'!$J22=0,1,'OECD Europe 1995'!$J22)*-1</f>
        <v>8.9101138296480434E-2</v>
      </c>
      <c r="C72" s="40">
        <f>'OECD Europe 2000'!$J21/IF('OECD Europe 2000'!$J22=0,1,'OECD Europe 2000'!$J22)*-1</f>
        <v>8.8863116992048755E-2</v>
      </c>
      <c r="D72" s="40">
        <f>'OECD Europe 2005'!$J21/IF('OECD Europe 2005'!$J22=0,1,'OECD Europe 2005'!$J22)*-1</f>
        <v>8.1695498245315024E-2</v>
      </c>
      <c r="E72" s="40">
        <f>'OECD Europe 2010'!$J21/IF('OECD Europe 2010'!$J22=0,1,'OECD Europe 2010'!$J22)*-1</f>
        <v>7.8355805243445695E-2</v>
      </c>
      <c r="F72" s="40">
        <f>'OECD Europe 2015'!$J21/IF('OECD Europe 2015'!$J22=0,1,'OECD Europe 2015'!$J22)*-1</f>
        <v>7.9589397188015859E-2</v>
      </c>
      <c r="G72" s="40">
        <f>'OECD Europe 2018'!$J21/IF('OECD Europe 2018'!$J22=0,1,'OECD Europe 2018'!$J22)*-1</f>
        <v>7.6744143248863611E-2</v>
      </c>
      <c r="H72" s="77">
        <f t="shared" si="1"/>
        <v>7.6744143248863611E-2</v>
      </c>
      <c r="I72" s="77">
        <f t="shared" si="1"/>
        <v>7.6744143248863611E-2</v>
      </c>
    </row>
    <row r="73" spans="1:9" x14ac:dyDescent="0.35">
      <c r="A73" s="30" t="s">
        <v>148</v>
      </c>
      <c r="B73" s="40">
        <f>'OECD Europe 1995'!$K21/IF('OECD Europe 1995'!$K22=0,1,'OECD Europe 1995'!$K22)*-1</f>
        <v>8.3511124657116728E-2</v>
      </c>
      <c r="C73" s="40">
        <f>'OECD Europe 2000'!$K21/IF('OECD Europe 2000'!$K22=0,1,'OECD Europe 2000'!$K22)*-1</f>
        <v>7.0781912612569692E-2</v>
      </c>
      <c r="D73" s="40">
        <f>'OECD Europe 2005'!$K21/IF('OECD Europe 2005'!$K22=0,1,'OECD Europe 2005'!$K22)*-1</f>
        <v>8.5587435701852177E-2</v>
      </c>
      <c r="E73" s="40">
        <f>'OECD Europe 2010'!$K21/IF('OECD Europe 2010'!$K22=0,1,'OECD Europe 2010'!$K22)*-1</f>
        <v>9.8557829333637353E-2</v>
      </c>
      <c r="F73" s="40">
        <f>'OECD Europe 2015'!$K21/IF('OECD Europe 2015'!$K22=0,1,'OECD Europe 2015'!$K22)*-1</f>
        <v>0.10047261009667025</v>
      </c>
      <c r="G73" s="40">
        <f>'OECD Europe 2018'!$K21/IF('OECD Europe 2018'!$K22=0,1,'OECD Europe 2018'!$K22)*-1</f>
        <v>9.9948159668221875E-2</v>
      </c>
      <c r="H73" s="77">
        <f t="shared" si="1"/>
        <v>9.9948159668221875E-2</v>
      </c>
      <c r="I73" s="77">
        <f t="shared" si="1"/>
        <v>9.9948159668221875E-2</v>
      </c>
    </row>
    <row r="74" spans="1:9" x14ac:dyDescent="0.35">
      <c r="A74" s="38" t="s">
        <v>242</v>
      </c>
      <c r="B74" s="42"/>
      <c r="C74" s="42"/>
      <c r="D74" s="42"/>
      <c r="E74" s="42"/>
      <c r="F74" s="42"/>
      <c r="G74" s="42"/>
      <c r="H74" s="42"/>
      <c r="I74" s="42"/>
    </row>
    <row r="75" spans="1:9" x14ac:dyDescent="0.35">
      <c r="A75" s="30" t="s">
        <v>243</v>
      </c>
      <c r="B75" s="40">
        <f>'OECD Europe 1995'!$L20/B5*0.041872</f>
        <v>8.3452391827862599E-2</v>
      </c>
      <c r="C75" s="40">
        <f>'OECD Europe 2000'!$L20/C5*0.041872</f>
        <v>7.9317278933665594E-2</v>
      </c>
      <c r="D75" s="40">
        <f>'OECD Europe 2005'!$L20/D5*0.041872</f>
        <v>7.8645053589387004E-2</v>
      </c>
      <c r="E75" s="40">
        <f>'OECD Europe 2010'!$L20/E5*0.041872</f>
        <v>8.0100918024088349E-2</v>
      </c>
      <c r="F75" s="40">
        <f>'OECD Europe 2015'!$L20/F5*0.041872</f>
        <v>8.0885087225661234E-2</v>
      </c>
      <c r="G75" s="40">
        <f>'OECD Europe 2018'!$L20/G5*0.041872</f>
        <v>7.7582482667317001E-2</v>
      </c>
      <c r="H75" s="77">
        <f t="shared" si="1"/>
        <v>7.7582482667317001E-2</v>
      </c>
      <c r="I75" s="77">
        <f t="shared" si="1"/>
        <v>7.7582482667317001E-2</v>
      </c>
    </row>
    <row r="76" spans="1:9" x14ac:dyDescent="0.35">
      <c r="A76" s="39" t="s">
        <v>158</v>
      </c>
      <c r="B76" s="43"/>
      <c r="C76" s="43"/>
      <c r="D76" s="43"/>
      <c r="E76" s="43"/>
      <c r="F76" s="43"/>
      <c r="G76" s="43"/>
      <c r="H76" s="43">
        <f t="shared" si="1"/>
        <v>0</v>
      </c>
      <c r="I76" s="43">
        <f t="shared" si="1"/>
        <v>0</v>
      </c>
    </row>
    <row r="77" spans="1:9" x14ac:dyDescent="0.35">
      <c r="A77" s="30" t="s">
        <v>147</v>
      </c>
      <c r="B77" s="40">
        <f>'OECD Europe 1995'!$J20/'OECD Europe 1995'!$L20</f>
        <v>0.25604333596659518</v>
      </c>
      <c r="C77" s="40">
        <f>'OECD Europe 2000'!$J20/'OECD Europe 2000'!$L20</f>
        <v>0.26601550631843091</v>
      </c>
      <c r="D77" s="40">
        <f>'OECD Europe 2005'!$J20/'OECD Europe 2005'!$L20</f>
        <v>0.2736584423114089</v>
      </c>
      <c r="E77" s="40">
        <f>'OECD Europe 2010'!$J20/'OECD Europe 2010'!$L20</f>
        <v>0.2666588817291054</v>
      </c>
      <c r="F77" s="40">
        <f>'OECD Europe 2015'!$J20/'OECD Europe 2015'!$L20</f>
        <v>0.25230149276991753</v>
      </c>
      <c r="G77" s="40">
        <f>'OECD Europe 2018'!$J20/'OECD Europe 2018'!$L20</f>
        <v>0.25753867570783845</v>
      </c>
      <c r="H77" s="89">
        <f>1-H78-H79-H80-H81-H82-H83</f>
        <v>0.25754990232840114</v>
      </c>
      <c r="I77" s="89">
        <f>1-I78-I79-I80-I81-I82-I83</f>
        <v>0.25754990232840114</v>
      </c>
    </row>
    <row r="78" spans="1:9" x14ac:dyDescent="0.35">
      <c r="A78" s="30" t="s">
        <v>148</v>
      </c>
      <c r="B78" s="40">
        <f>'OECD Europe 1995'!$K20/'OECD Europe 1995'!$L20</f>
        <v>2.6441710867847874E-2</v>
      </c>
      <c r="C78" s="40">
        <f>'OECD Europe 2000'!$K20/'OECD Europe 2000'!$L20</f>
        <v>2.5656317868275064E-2</v>
      </c>
      <c r="D78" s="40">
        <f>'OECD Europe 2005'!$K20/'OECD Europe 2005'!$L20</f>
        <v>3.4475724194206449E-2</v>
      </c>
      <c r="E78" s="40">
        <f>'OECD Europe 2010'!$K20/'OECD Europe 2010'!$L20</f>
        <v>4.708117920572405E-2</v>
      </c>
      <c r="F78" s="40">
        <f>'OECD Europe 2015'!$K20/'OECD Europe 2015'!$L20</f>
        <v>4.552892589582893E-2</v>
      </c>
      <c r="G78" s="40">
        <f>'OECD Europe 2018'!$K20/'OECD Europe 2018'!$L20</f>
        <v>4.7993802905449405E-2</v>
      </c>
      <c r="H78" s="77">
        <f t="shared" si="1"/>
        <v>4.7993802905449405E-2</v>
      </c>
      <c r="I78" s="77">
        <f t="shared" si="1"/>
        <v>4.7993802905449405E-2</v>
      </c>
    </row>
    <row r="79" spans="1:9" x14ac:dyDescent="0.35">
      <c r="A79" s="30" t="s">
        <v>141</v>
      </c>
      <c r="B79" s="40">
        <f>'OECD Europe 1995'!$B20/'OECD Europe 1995'!$L20</f>
        <v>0.1102584358424557</v>
      </c>
      <c r="C79" s="40">
        <f>'OECD Europe 2000'!$B20/'OECD Europe 2000'!$L20</f>
        <v>9.3285471547368534E-2</v>
      </c>
      <c r="D79" s="40">
        <f>'OECD Europe 2005'!$B20/'OECD Europe 2005'!$L20</f>
        <v>8.1352401812364444E-2</v>
      </c>
      <c r="E79" s="40">
        <f>'OECD Europe 2010'!$B20/'OECD Europe 2010'!$L20</f>
        <v>7.7835221180691944E-2</v>
      </c>
      <c r="F79" s="40">
        <f>'OECD Europe 2015'!$B20/'OECD Europe 2015'!$L20</f>
        <v>8.0170983936860618E-2</v>
      </c>
      <c r="G79" s="40">
        <f>'OECD Europe 2018'!$B20/'OECD Europe 2018'!$L20</f>
        <v>8.5647888272672154E-2</v>
      </c>
      <c r="H79" s="77">
        <f t="shared" si="1"/>
        <v>8.5647888272672154E-2</v>
      </c>
      <c r="I79" s="77">
        <f t="shared" si="1"/>
        <v>8.5647888272672154E-2</v>
      </c>
    </row>
    <row r="80" spans="1:9" x14ac:dyDescent="0.35">
      <c r="A80" s="30" t="s">
        <v>244</v>
      </c>
      <c r="B80" s="40">
        <f>'OECD Europe 1995'!$E20/'OECD Europe 1995'!$L20</f>
        <v>0.14429522627242974</v>
      </c>
      <c r="C80" s="40">
        <f>'OECD Europe 2000'!$E20/'OECD Europe 2000'!$L20</f>
        <v>0.16588835000618901</v>
      </c>
      <c r="D80" s="40">
        <f>'OECD Europe 2005'!$E20/'OECD Europe 2005'!$L20</f>
        <v>0.16763297472567587</v>
      </c>
      <c r="E80" s="40">
        <f>'OECD Europe 2010'!$E20/'OECD Europe 2010'!$L20</f>
        <v>0.20831431331542799</v>
      </c>
      <c r="F80" s="40">
        <f>'OECD Europe 2015'!$E20/'OECD Europe 2015'!$L20</f>
        <v>0.24066879654469961</v>
      </c>
      <c r="G80" s="40">
        <f>'OECD Europe 2018'!$E20/'OECD Europe 2018'!$L20</f>
        <v>0.25454116801760335</v>
      </c>
      <c r="H80" s="77">
        <f t="shared" si="1"/>
        <v>0.25454116801760335</v>
      </c>
      <c r="I80" s="77">
        <f t="shared" si="1"/>
        <v>0.25454116801760335</v>
      </c>
    </row>
    <row r="81" spans="1:9" x14ac:dyDescent="0.35">
      <c r="A81" s="30" t="s">
        <v>160</v>
      </c>
      <c r="B81" s="40">
        <f>'OECD Europe 1995'!$C20/'OECD Europe 1995'!$L20</f>
        <v>9.3781740209908596E-3</v>
      </c>
      <c r="C81" s="40">
        <f>'OECD Europe 2000'!$C20/'OECD Europe 2000'!$L20</f>
        <v>4.3210640620252741E-3</v>
      </c>
      <c r="D81" s="40">
        <f>'OECD Europe 2005'!$C20/'OECD Europe 2005'!$L20</f>
        <v>0</v>
      </c>
      <c r="E81" s="40">
        <f>'OECD Europe 2010'!$C20/'OECD Europe 2010'!$L20</f>
        <v>0</v>
      </c>
      <c r="F81" s="40">
        <f>'OECD Europe 2015'!$C20/'OECD Europe 2015'!$L20</f>
        <v>0</v>
      </c>
      <c r="G81" s="40">
        <f>'OECD Europe 2018'!$C20/'OECD Europe 2018'!$L20</f>
        <v>0</v>
      </c>
      <c r="H81" s="77">
        <f t="shared" si="1"/>
        <v>0</v>
      </c>
      <c r="I81" s="77">
        <f t="shared" si="1"/>
        <v>0</v>
      </c>
    </row>
    <row r="82" spans="1:9" x14ac:dyDescent="0.35">
      <c r="A82" s="30" t="s">
        <v>143</v>
      </c>
      <c r="B82" s="40">
        <f>'OECD Europe 1995'!$D20/'OECD Europe 1995'!$L20</f>
        <v>0.45297370499943573</v>
      </c>
      <c r="C82" s="40">
        <f>'OECD Europe 2000'!$D20/'OECD Europe 2000'!$L20</f>
        <v>0.44470950971676776</v>
      </c>
      <c r="D82" s="40">
        <f>'OECD Europe 2005'!$D20/'OECD Europe 2005'!$L20</f>
        <v>0.44172088728553327</v>
      </c>
      <c r="E82" s="40">
        <f>'OECD Europe 2010'!$D20/'OECD Europe 2010'!$L20</f>
        <v>0.39276425439760509</v>
      </c>
      <c r="F82" s="40">
        <f>'OECD Europe 2015'!$D20/'OECD Europe 2015'!$L20</f>
        <v>0.37380472654815045</v>
      </c>
      <c r="G82" s="40">
        <f>'OECD Europe 2018'!$D20/'OECD Europe 2018'!$L20</f>
        <v>0.34735164020926423</v>
      </c>
      <c r="H82" s="77">
        <f t="shared" si="1"/>
        <v>0.34735164020926423</v>
      </c>
      <c r="I82" s="77">
        <f t="shared" si="1"/>
        <v>0.34735164020926423</v>
      </c>
    </row>
    <row r="83" spans="1:9" x14ac:dyDescent="0.35">
      <c r="A83" s="30" t="s">
        <v>161</v>
      </c>
      <c r="B83" s="40">
        <f>'OECD Europe 1995'!$I20/'OECD Europe 1995'!$L20</f>
        <v>5.9812662227739534E-4</v>
      </c>
      <c r="C83" s="40">
        <f>'OECD Europe 2000'!$I20/'OECD Europe 2000'!$L20</f>
        <v>1.2378048094343231E-4</v>
      </c>
      <c r="D83" s="40">
        <f>'OECD Europe 2005'!$I20/'OECD Europe 2005'!$L20</f>
        <v>1.1703064270222681E-3</v>
      </c>
      <c r="E83" s="40">
        <f>'OECD Europe 2010'!$I20/'OECD Europe 2010'!$L20</f>
        <v>7.31430269960403E-3</v>
      </c>
      <c r="F83" s="40">
        <f>'OECD Europe 2015'!$I20/'OECD Europe 2015'!$L20</f>
        <v>7.5139425378201773E-3</v>
      </c>
      <c r="G83" s="40">
        <f>'OECD Europe 2018'!$I20/'OECD Europe 2018'!$L20</f>
        <v>6.9155982666097848E-3</v>
      </c>
      <c r="H83" s="77">
        <f t="shared" si="1"/>
        <v>6.9155982666097848E-3</v>
      </c>
      <c r="I83" s="77">
        <f t="shared" si="1"/>
        <v>6.9155982666097848E-3</v>
      </c>
    </row>
    <row r="84" spans="1:9" ht="18.75" customHeight="1" x14ac:dyDescent="0.35">
      <c r="A84" s="32" t="s">
        <v>162</v>
      </c>
      <c r="B84" s="82"/>
      <c r="C84" s="82"/>
      <c r="D84" s="82"/>
      <c r="E84" s="82"/>
      <c r="F84" s="82"/>
      <c r="G84" s="82"/>
      <c r="H84" s="42"/>
      <c r="I84" s="42"/>
    </row>
    <row r="85" spans="1:9" x14ac:dyDescent="0.35">
      <c r="A85" s="30" t="s">
        <v>163</v>
      </c>
      <c r="B85" s="40">
        <f>'OECD Europe 1995'!$K13/IF(('OECD Europe 1995'!$K13+'OECD Europe 1995'!$K14)=0,1,('OECD Europe 1995'!$K13+'OECD Europe 1995'!$K14))</f>
        <v>0.64911654470819202</v>
      </c>
      <c r="C85" s="40">
        <f>'OECD Europe 2000'!$K13/IF(('OECD Europe 2000'!$K13+'OECD Europe 2000'!$K14)=0,1,('OECD Europe 2000'!$K13+'OECD Europe 2000'!$K14))</f>
        <v>0.6713402587470525</v>
      </c>
      <c r="D85" s="40">
        <f>'OECD Europe 2005'!$K13/IF(('OECD Europe 2005'!$K13+'OECD Europe 2005'!$K14)=0,1,('OECD Europe 2005'!$K13+'OECD Europe 2005'!$K14))</f>
        <v>0.72485781425603646</v>
      </c>
      <c r="E85" s="40">
        <f>'OECD Europe 2010'!$K13/IF(('OECD Europe 2010'!$K13+'OECD Europe 2010'!$K14)=0,1,('OECD Europe 2010'!$K13+'OECD Europe 2010'!$K14))</f>
        <v>0.70359888077702382</v>
      </c>
      <c r="F85" s="40">
        <f>'OECD Europe 2015'!$K13/IF(('OECD Europe 2015'!$K13+'OECD Europe 2015'!$K14)=0,1,('OECD Europe 2015'!$K13+'OECD Europe 2015'!$K14))</f>
        <v>0.69654298642533941</v>
      </c>
      <c r="G85" s="40">
        <f>'OECD Europe 2018'!$K13/IF(('OECD Europe 2018'!$K13+'OECD Europe 2018'!$K14)=0,1,('OECD Europe 2018'!$K13+'OECD Europe 2018'!$K14))</f>
        <v>0.68874925613470084</v>
      </c>
      <c r="H85" s="89">
        <f>1-H86</f>
        <v>0.68874925613470084</v>
      </c>
      <c r="I85" s="89">
        <f>1-I86</f>
        <v>0.68874925613470084</v>
      </c>
    </row>
    <row r="86" spans="1:9" x14ac:dyDescent="0.35">
      <c r="A86" s="30" t="s">
        <v>164</v>
      </c>
      <c r="B86" s="40">
        <f>'OECD Europe 1995'!$K14/IF(('OECD Europe 1995'!$K13+'OECD Europe 1995'!$K14)=0,1,('OECD Europe 1995'!$K13+'OECD Europe 1995'!$K14))</f>
        <v>0.35088345529180798</v>
      </c>
      <c r="C86" s="40">
        <f>'OECD Europe 2000'!$K14/IF(('OECD Europe 2000'!$K13+'OECD Europe 2000'!$K14)=0,1,('OECD Europe 2000'!$K13+'OECD Europe 2000'!$K14))</f>
        <v>0.32865974125294756</v>
      </c>
      <c r="D86" s="40">
        <f>'OECD Europe 2005'!$K14/IF(('OECD Europe 2005'!$K13+'OECD Europe 2005'!$K14)=0,1,('OECD Europe 2005'!$K13+'OECD Europe 2005'!$K14))</f>
        <v>0.27514218574396349</v>
      </c>
      <c r="E86" s="40">
        <f>'OECD Europe 2010'!$K14/IF(('OECD Europe 2010'!$K13+'OECD Europe 2010'!$K14)=0,1,('OECD Europe 2010'!$K13+'OECD Europe 2010'!$K14))</f>
        <v>0.29640111922297624</v>
      </c>
      <c r="F86" s="40">
        <f>'OECD Europe 2015'!$K14/IF(('OECD Europe 2015'!$K13+'OECD Europe 2015'!$K14)=0,1,('OECD Europe 2015'!$K13+'OECD Europe 2015'!$K14))</f>
        <v>0.30345701357466065</v>
      </c>
      <c r="G86" s="40">
        <f>'OECD Europe 2018'!$K14/IF(('OECD Europe 2018'!$K13+'OECD Europe 2018'!$K14)=0,1,('OECD Europe 2018'!$K13+'OECD Europe 2018'!$K14))</f>
        <v>0.31125074386529911</v>
      </c>
      <c r="H86" s="77">
        <f t="shared" si="1"/>
        <v>0.31125074386529911</v>
      </c>
      <c r="I86" s="77">
        <f t="shared" si="1"/>
        <v>0.31125074386529911</v>
      </c>
    </row>
    <row r="87" spans="1:9" x14ac:dyDescent="0.35">
      <c r="A87" s="32" t="s">
        <v>165</v>
      </c>
      <c r="B87" s="82"/>
      <c r="C87" s="82"/>
      <c r="D87" s="82"/>
      <c r="E87" s="82"/>
      <c r="F87" s="82"/>
      <c r="G87" s="82"/>
      <c r="H87" s="42"/>
      <c r="I87" s="42"/>
    </row>
    <row r="88" spans="1:9" x14ac:dyDescent="0.35">
      <c r="A88" s="30" t="s">
        <v>166</v>
      </c>
      <c r="B88" s="40">
        <f>'OECD Europe 1995'!$J14/IF('OECD Europe 1995'!$K14=0,1,'OECD Europe 1995'!$K14)*-1</f>
        <v>3.4397253306205494E-2</v>
      </c>
      <c r="C88" s="40">
        <f>'OECD Europe 2000'!$J14/IF('OECD Europe 2000'!$K14=0,1,'OECD Europe 2000'!$K14)*-1</f>
        <v>2.7793937043500742E-2</v>
      </c>
      <c r="D88" s="40">
        <f>'OECD Europe 2005'!$J14/IF('OECD Europe 2005'!$K14=0,1,'OECD Europe 2005'!$K14)*-1</f>
        <v>1.6524322317118454E-2</v>
      </c>
      <c r="E88" s="40">
        <f>'OECD Europe 2010'!$J14/IF('OECD Europe 2010'!$K14=0,1,'OECD Europe 2010'!$K14)*-1</f>
        <v>1.3617621527777778E-2</v>
      </c>
      <c r="F88" s="40">
        <f>'OECD Europe 2015'!$J14/IF('OECD Europe 2015'!$K14=0,1,'OECD Europe 2015'!$K14)*-1</f>
        <v>1.7117976857926757E-2</v>
      </c>
      <c r="G88" s="40">
        <f>'OECD Europe 2018'!$J14/IF('OECD Europe 2018'!$K14=0,1,'OECD Europe 2018'!$K14)*-1</f>
        <v>1.6307709610301972E-2</v>
      </c>
      <c r="H88" s="77">
        <f t="shared" si="1"/>
        <v>1.6307709610301972E-2</v>
      </c>
      <c r="I88" s="77">
        <f t="shared" si="1"/>
        <v>1.6307709610301972E-2</v>
      </c>
    </row>
    <row r="89" spans="1:9" ht="18.75" customHeight="1" x14ac:dyDescent="0.35">
      <c r="A89" s="32" t="s">
        <v>167</v>
      </c>
      <c r="B89" s="82"/>
      <c r="C89" s="82"/>
      <c r="D89" s="82"/>
      <c r="E89" s="82"/>
      <c r="F89" s="82"/>
      <c r="G89" s="82"/>
      <c r="H89" s="42"/>
      <c r="I89" s="42"/>
    </row>
    <row r="90" spans="1:9" x14ac:dyDescent="0.35">
      <c r="A90" s="30" t="s">
        <v>168</v>
      </c>
      <c r="B90" s="34">
        <f>'OECD Europe 1995'!$J13/IF('OECD Europe 1995'!$K13=0,1,'OECD Europe 1995'!$K13)</f>
        <v>1.2471130052240857</v>
      </c>
      <c r="C90" s="34">
        <f>'OECD Europe 2000'!$J13/IF('OECD Europe 2000'!$K13=0,1,'OECD Europe 2000'!$K13)</f>
        <v>1.284380735396494</v>
      </c>
      <c r="D90" s="34">
        <f>'OECD Europe 2005'!$J13/IF('OECD Europe 2005'!$K13=0,1,'OECD Europe 2005'!$K13)</f>
        <v>1.3649220071415147</v>
      </c>
      <c r="E90" s="34">
        <f>'OECD Europe 2010'!$J13/IF('OECD Europe 2010'!$K13=0,1,'OECD Europe 2010'!$K13)</f>
        <v>1.4599122365955113</v>
      </c>
      <c r="F90" s="34">
        <f>'OECD Europe 2015'!$J13/IF('OECD Europe 2015'!$K13=0,1,'OECD Europe 2015'!$K13)</f>
        <v>1.5080293108824447</v>
      </c>
      <c r="G90" s="34">
        <f>'OECD Europe 2018'!$J13/IF('OECD Europe 2018'!$K13=0,1,'OECD Europe 2018'!$K13)</f>
        <v>1.5068232065258824</v>
      </c>
      <c r="H90" s="78">
        <f t="shared" si="1"/>
        <v>1.5068232065258824</v>
      </c>
      <c r="I90" s="78">
        <f t="shared" si="1"/>
        <v>1.5068232065258824</v>
      </c>
    </row>
    <row r="91" spans="1:9" ht="18.75" customHeight="1" x14ac:dyDescent="0.35">
      <c r="A91" s="32" t="s">
        <v>169</v>
      </c>
      <c r="B91" s="82"/>
      <c r="C91" s="82"/>
      <c r="D91" s="82"/>
      <c r="E91" s="82"/>
      <c r="F91" s="82"/>
      <c r="G91" s="82"/>
      <c r="H91" s="33"/>
      <c r="I91" s="33"/>
    </row>
    <row r="92" spans="1:9" x14ac:dyDescent="0.35">
      <c r="A92" s="30" t="s">
        <v>170</v>
      </c>
      <c r="B92" s="40">
        <v>1</v>
      </c>
      <c r="C92" s="40">
        <v>1</v>
      </c>
      <c r="D92" s="40">
        <v>1</v>
      </c>
      <c r="E92" s="40">
        <v>1</v>
      </c>
      <c r="F92" s="40">
        <v>1</v>
      </c>
      <c r="G92" s="40">
        <v>1</v>
      </c>
      <c r="H92" s="77">
        <f t="shared" si="1"/>
        <v>1</v>
      </c>
      <c r="I92" s="77">
        <f t="shared" si="1"/>
        <v>1</v>
      </c>
    </row>
    <row r="93" spans="1:9" x14ac:dyDescent="0.35">
      <c r="A93" s="32" t="s">
        <v>171</v>
      </c>
      <c r="B93" s="82"/>
      <c r="C93" s="82"/>
      <c r="D93" s="82"/>
      <c r="E93" s="82"/>
      <c r="F93" s="82"/>
      <c r="G93" s="82"/>
      <c r="H93" s="42"/>
      <c r="I93" s="42"/>
    </row>
    <row r="94" spans="1:9" x14ac:dyDescent="0.35">
      <c r="A94" s="30" t="s">
        <v>172</v>
      </c>
      <c r="B94" s="40">
        <f>'OECD Europe 1995'!$G12/'OECD Europe 1995'!$J12*-1</f>
        <v>0.20472563712474132</v>
      </c>
      <c r="C94" s="40">
        <f>'OECD Europe 2000'!$G12/'OECD Europe 2000'!$J12*-1</f>
        <v>0.19845007526764163</v>
      </c>
      <c r="D94" s="40">
        <f>'OECD Europe 2005'!$G12/'OECD Europe 2005'!$J12*-1</f>
        <v>0.1732687166591389</v>
      </c>
      <c r="E94" s="40">
        <f>'OECD Europe 2010'!$G12/'OECD Europe 2010'!$J12*-1</f>
        <v>0.19437112020600747</v>
      </c>
      <c r="F94" s="40">
        <f>'OECD Europe 2015'!$G12/'OECD Europe 2015'!$J12*-1</f>
        <v>0.19657852313466953</v>
      </c>
      <c r="G94" s="40">
        <f>'OECD Europe 2018'!$G12/'OECD Europe 2018'!$J12*-1</f>
        <v>0.19108440064136489</v>
      </c>
      <c r="H94" s="77">
        <f t="shared" si="1"/>
        <v>0.19108440064136489</v>
      </c>
      <c r="I94" s="77">
        <f t="shared" si="1"/>
        <v>0.19108440064136489</v>
      </c>
    </row>
    <row r="95" spans="1:9" x14ac:dyDescent="0.35">
      <c r="A95" s="30" t="s">
        <v>145</v>
      </c>
      <c r="B95" s="40">
        <f>'OECD Europe 1995'!$H12/'OECD Europe 1995'!$J12*-1</f>
        <v>1.7623101854914152E-2</v>
      </c>
      <c r="C95" s="40">
        <f>'OECD Europe 2000'!$H12/'OECD Europe 2000'!$J12*-1</f>
        <v>2.8206443582907938E-2</v>
      </c>
      <c r="D95" s="40">
        <f>'OECD Europe 2005'!$H12/'OECD Europe 2005'!$J12*-1</f>
        <v>4.6684326387447767E-2</v>
      </c>
      <c r="E95" s="40">
        <f>'OECD Europe 2010'!$H12/'OECD Europe 2010'!$J12*-1</f>
        <v>8.8287764673592783E-2</v>
      </c>
      <c r="F95" s="40">
        <f>'OECD Europe 2015'!$H12/'OECD Europe 2015'!$J12*-1</f>
        <v>0.18618817320725359</v>
      </c>
      <c r="G95" s="40">
        <f>'OECD Europe 2018'!$H12/'OECD Europe 2018'!$J12*-1</f>
        <v>0.23375712028728129</v>
      </c>
      <c r="H95" s="77">
        <f t="shared" si="1"/>
        <v>0.23375712028728129</v>
      </c>
      <c r="I95" s="77">
        <f t="shared" si="1"/>
        <v>0.23375712028728129</v>
      </c>
    </row>
    <row r="96" spans="1:9" x14ac:dyDescent="0.35">
      <c r="A96" s="30" t="s">
        <v>173</v>
      </c>
      <c r="B96" s="40">
        <f t="shared" ref="B96:G96" si="2">1-B94-B95</f>
        <v>0.77765126102034454</v>
      </c>
      <c r="C96" s="40">
        <f t="shared" si="2"/>
        <v>0.7733434811494504</v>
      </c>
      <c r="D96" s="40">
        <f t="shared" si="2"/>
        <v>0.78004695695341331</v>
      </c>
      <c r="E96" s="40">
        <f t="shared" si="2"/>
        <v>0.71734111512039977</v>
      </c>
      <c r="F96" s="40">
        <f t="shared" si="2"/>
        <v>0.61723330365807694</v>
      </c>
      <c r="G96" s="40">
        <f t="shared" si="2"/>
        <v>0.57515847907135376</v>
      </c>
      <c r="H96" s="89">
        <f>1-H95-H94</f>
        <v>0.57515847907135387</v>
      </c>
      <c r="I96" s="89">
        <f>1-I95-I94</f>
        <v>0.57515847907135387</v>
      </c>
    </row>
    <row r="97" spans="1:9" x14ac:dyDescent="0.35">
      <c r="A97" s="32" t="s">
        <v>174</v>
      </c>
      <c r="B97" s="82"/>
      <c r="C97" s="82"/>
      <c r="D97" s="82"/>
      <c r="E97" s="82"/>
      <c r="F97" s="82"/>
      <c r="G97" s="82"/>
      <c r="H97" s="42"/>
      <c r="I97" s="42"/>
    </row>
    <row r="98" spans="1:9" x14ac:dyDescent="0.35">
      <c r="A98" s="30" t="s">
        <v>145</v>
      </c>
      <c r="B98" s="40">
        <f>'OECD Europe 1995'!$H13/IF(('OECD Europe 1995'!$J13+'OECD Europe 1995'!$K13)=0,1,('OECD Europe 1995'!$J13+'OECD Europe 1995'!$K13))*-1</f>
        <v>7.0202808112324495E-3</v>
      </c>
      <c r="C98" s="40">
        <f>'OECD Europe 2000'!$H13/IF(('OECD Europe 2000'!$J13+'OECD Europe 2000'!$K13)=0,1,('OECD Europe 2000'!$J13+'OECD Europe 2000'!$K13))*-1</f>
        <v>1.1317200205011705E-2</v>
      </c>
      <c r="D98" s="40">
        <f>'OECD Europe 2005'!$H13/IF(('OECD Europe 2005'!$J13+'OECD Europe 2005'!$K13)=0,1,('OECD Europe 2005'!$J13+'OECD Europe 2005'!$K13))*-1</f>
        <v>8.6321644978643083E-3</v>
      </c>
      <c r="E98" s="40">
        <f>'OECD Europe 2010'!$H13/IF(('OECD Europe 2010'!$J13+'OECD Europe 2010'!$K13)=0,1,('OECD Europe 2010'!$J13+'OECD Europe 2010'!$K13))*-1</f>
        <v>1.8331149947505829E-2</v>
      </c>
      <c r="F98" s="40">
        <f>'OECD Europe 2015'!$H13/IF(('OECD Europe 2015'!$J13+'OECD Europe 2015'!$K13)=0,1,('OECD Europe 2015'!$J13+'OECD Europe 2015'!$K13))*-1</f>
        <v>2.749717672168174E-2</v>
      </c>
      <c r="G98" s="40">
        <f>'OECD Europe 2018'!$H13/IF(('OECD Europe 2018'!$J13+'OECD Europe 2018'!$K13)=0,1,('OECD Europe 2018'!$J13+'OECD Europe 2018'!$K13))*-1</f>
        <v>2.8850637633558381E-2</v>
      </c>
      <c r="H98" s="77">
        <f t="shared" si="1"/>
        <v>2.8850637633558381E-2</v>
      </c>
      <c r="I98" s="77">
        <f t="shared" si="1"/>
        <v>2.8850637633558381E-2</v>
      </c>
    </row>
    <row r="99" spans="1:9" x14ac:dyDescent="0.35">
      <c r="A99" s="30" t="s">
        <v>173</v>
      </c>
      <c r="B99" s="40">
        <f t="shared" ref="B99:G99" si="3">1-B98</f>
        <v>0.9929797191887676</v>
      </c>
      <c r="C99" s="40">
        <f t="shared" si="3"/>
        <v>0.9886827997949883</v>
      </c>
      <c r="D99" s="40">
        <f t="shared" si="3"/>
        <v>0.9913678355021357</v>
      </c>
      <c r="E99" s="40">
        <f t="shared" si="3"/>
        <v>0.98166885005249416</v>
      </c>
      <c r="F99" s="40">
        <f t="shared" si="3"/>
        <v>0.97250282327831827</v>
      </c>
      <c r="G99" s="40">
        <f t="shared" si="3"/>
        <v>0.97114936236644167</v>
      </c>
      <c r="H99" s="89">
        <f>1-H98</f>
        <v>0.97114936236644167</v>
      </c>
      <c r="I99" s="89">
        <f>1-I98</f>
        <v>0.97114936236644167</v>
      </c>
    </row>
    <row r="100" spans="1:9" x14ac:dyDescent="0.35">
      <c r="A100" s="32" t="s">
        <v>175</v>
      </c>
      <c r="B100" s="82"/>
      <c r="C100" s="82"/>
      <c r="D100" s="82"/>
      <c r="E100" s="82"/>
      <c r="F100" s="82"/>
      <c r="G100" s="82"/>
      <c r="H100" s="42"/>
      <c r="I100" s="42"/>
    </row>
    <row r="101" spans="1:9" x14ac:dyDescent="0.35">
      <c r="A101" s="30" t="s">
        <v>145</v>
      </c>
      <c r="B101" s="40">
        <f>'OECD Europe 1995'!$H14/IF('OECD Europe 1995'!$K14=0,1,'OECD Europe 1995'!$K14)*-1</f>
        <v>2.3588504577822991E-2</v>
      </c>
      <c r="C101" s="40">
        <f>'OECD Europe 2000'!$H14/IF('OECD Europe 2000'!$K14=0,1,'OECD Europe 2000'!$K14)*-1</f>
        <v>2.9603774804472884E-2</v>
      </c>
      <c r="D101" s="40">
        <f>'OECD Europe 2005'!$H14/IF('OECD Europe 2005'!$K14=0,1,'OECD Europe 2005'!$K14)*-1</f>
        <v>3.9608862482980567E-2</v>
      </c>
      <c r="E101" s="40">
        <f>'OECD Europe 2010'!$H14/IF('OECD Europe 2010'!$K14=0,1,'OECD Europe 2010'!$K14)*-1</f>
        <v>4.78515625E-2</v>
      </c>
      <c r="F101" s="40">
        <f>'OECD Europe 2015'!$H14/IF('OECD Europe 2015'!$K14=0,1,'OECD Europe 2015'!$K14)*-1</f>
        <v>7.0678754622450199E-2</v>
      </c>
      <c r="G101" s="40">
        <f>'OECD Europe 2018'!$H14/IF('OECD Europe 2018'!$K14=0,1,'OECD Europe 2018'!$K14)*-1</f>
        <v>9.0142270707979533E-2</v>
      </c>
      <c r="H101" s="77">
        <f t="shared" si="1"/>
        <v>9.0142270707979533E-2</v>
      </c>
      <c r="I101" s="77">
        <f t="shared" si="1"/>
        <v>9.0142270707979533E-2</v>
      </c>
    </row>
    <row r="102" spans="1:9" x14ac:dyDescent="0.35">
      <c r="A102" s="30" t="s">
        <v>173</v>
      </c>
      <c r="B102" s="40">
        <f t="shared" ref="B102:G102" si="4">1-B101</f>
        <v>0.97641149542217698</v>
      </c>
      <c r="C102" s="40">
        <f t="shared" si="4"/>
        <v>0.97039622519552715</v>
      </c>
      <c r="D102" s="40">
        <f t="shared" si="4"/>
        <v>0.96039113751701943</v>
      </c>
      <c r="E102" s="40">
        <f t="shared" si="4"/>
        <v>0.9521484375</v>
      </c>
      <c r="F102" s="40">
        <f t="shared" si="4"/>
        <v>0.92932124537754979</v>
      </c>
      <c r="G102" s="40">
        <f t="shared" si="4"/>
        <v>0.90985772929202047</v>
      </c>
      <c r="H102" s="89">
        <f>1-H101</f>
        <v>0.90985772929202047</v>
      </c>
      <c r="I102" s="89">
        <f>1-I101</f>
        <v>0.90985772929202047</v>
      </c>
    </row>
    <row r="103" spans="1:9" x14ac:dyDescent="0.35">
      <c r="A103" s="31" t="s">
        <v>176</v>
      </c>
      <c r="B103" s="81"/>
      <c r="C103" s="81"/>
      <c r="D103" s="81"/>
      <c r="E103" s="81"/>
      <c r="F103" s="81"/>
      <c r="G103" s="81"/>
      <c r="H103" s="42"/>
      <c r="I103" s="42"/>
    </row>
    <row r="104" spans="1:9" x14ac:dyDescent="0.35">
      <c r="A104" s="30" t="s">
        <v>177</v>
      </c>
      <c r="B104" s="40">
        <f>('OECD Europe 1995'!$J12+'OECD Europe 1995'!$G12+'OECD Europe 1995'!$H12)/('OECD Europe 1995'!$B12+'OECD Europe 1995'!$D12+'OECD Europe 1995'!$E12+'OECD Europe 1995'!$F12+'OECD Europe 1995'!$I12)*-1</f>
        <v>0.35128536213170558</v>
      </c>
      <c r="C104" s="40">
        <f>('OECD Europe 2000'!$J12+'OECD Europe 2000'!$G12+'OECD Europe 2000'!$H12)/('OECD Europe 2000'!$B12+'OECD Europe 2000'!$D12+'OECD Europe 2000'!$E12+'OECD Europe 2000'!$F12+'OECD Europe 2000'!$I12)*-1</f>
        <v>0.36059431448553331</v>
      </c>
      <c r="D104" s="40">
        <f>('OECD Europe 2005'!$J12+'OECD Europe 2005'!$G12+'OECD Europe 2005'!$H12)/('OECD Europe 2005'!$B12+'OECD Europe 2005'!$D12+'OECD Europe 2005'!$E12+'OECD Europe 2005'!$F12+'OECD Europe 2005'!$I12)*-1</f>
        <v>0.36222403615778215</v>
      </c>
      <c r="E104" s="40">
        <f>('OECD Europe 2010'!$J12+'OECD Europe 2010'!$G12+'OECD Europe 2010'!$H12)/('OECD Europe 2010'!$B12+'OECD Europe 2010'!$D12+'OECD Europe 2010'!$E12+'OECD Europe 2010'!$F12+'OECD Europe 2010'!$I12)*-1</f>
        <v>0.36447624496793629</v>
      </c>
      <c r="F104" s="40">
        <f>('OECD Europe 2015'!$J12+'OECD Europe 2015'!$G12+'OECD Europe 2015'!$H12)/('OECD Europe 2015'!$B12+'OECD Europe 2015'!$D12+'OECD Europe 2015'!$E12+'OECD Europe 2015'!$F12+'OECD Europe 2015'!$I12)*-1</f>
        <v>0.35106002029947425</v>
      </c>
      <c r="G104" s="40">
        <f>('OECD Europe 2018'!$J12+'OECD Europe 2018'!$G12+'OECD Europe 2018'!$H12)/('OECD Europe 2018'!$B12+'OECD Europe 2018'!$D12+'OECD Europe 2018'!$E12+'OECD Europe 2018'!$F12+'OECD Europe 2018'!$I12)*-1</f>
        <v>0.34845228114260202</v>
      </c>
      <c r="H104" s="77">
        <f t="shared" si="1"/>
        <v>0.34845228114260202</v>
      </c>
      <c r="I104" s="77">
        <f t="shared" si="1"/>
        <v>0.34845228114260202</v>
      </c>
    </row>
    <row r="105" spans="1:9" x14ac:dyDescent="0.35">
      <c r="A105" s="30" t="s">
        <v>163</v>
      </c>
      <c r="B105" s="40">
        <f>('OECD Europe 1995'!$J13+'OECD Europe 1995'!$K13+'OECD Europe 1995'!$H13)/IF(('OECD Europe 1995'!$B13+'OECD Europe 1995'!$D13+'OECD Europe 1995'!$E13+'OECD Europe 1995'!$F13+'OECD Europe 1995'!$I13)=0,1,('OECD Europe 1995'!$B13+'OECD Europe 1995'!$D13+'OECD Europe 1995'!$E13+'OECD Europe 1995'!$F13+'OECD Europe 1995'!$I13))*-1</f>
        <v>0.56017360092495128</v>
      </c>
      <c r="C105" s="40">
        <f>('OECD Europe 2000'!$J13+'OECD Europe 2000'!$K13+'OECD Europe 2000'!$H13)/IF(('OECD Europe 2000'!$B13+'OECD Europe 2000'!$D13+'OECD Europe 2000'!$E13+'OECD Europe 2000'!$F13+'OECD Europe 2000'!$I13)=0,1,('OECD Europe 2000'!$B13+'OECD Europe 2000'!$D13+'OECD Europe 2000'!$E13+'OECD Europe 2000'!$F13+'OECD Europe 2000'!$I13))*-1</f>
        <v>0.60365709259447209</v>
      </c>
      <c r="D105" s="40">
        <f>('OECD Europe 2005'!$J13+'OECD Europe 2005'!$K13+'OECD Europe 2005'!$H13)/IF(('OECD Europe 2005'!$B13+'OECD Europe 2005'!$D13+'OECD Europe 2005'!$E13+'OECD Europe 2005'!$F13+'OECD Europe 2005'!$I13)=0,1,('OECD Europe 2005'!$B13+'OECD Europe 2005'!$D13+'OECD Europe 2005'!$E13+'OECD Europe 2005'!$F13+'OECD Europe 2005'!$I13))*-1</f>
        <v>0.61389555268499718</v>
      </c>
      <c r="E105" s="40">
        <f>('OECD Europe 2010'!$J13+'OECD Europe 2010'!$K13+'OECD Europe 2010'!$H13)/IF(('OECD Europe 2010'!$B13+'OECD Europe 2010'!$D13+'OECD Europe 2010'!$E13+'OECD Europe 2010'!$F13+'OECD Europe 2010'!$I13)=0,1,('OECD Europe 2010'!$B13+'OECD Europe 2010'!$D13+'OECD Europe 2010'!$E13+'OECD Europe 2010'!$F13+'OECD Europe 2010'!$I13))*-1</f>
        <v>0.59514904355271159</v>
      </c>
      <c r="F105" s="40">
        <f>('OECD Europe 2015'!$J13+'OECD Europe 2015'!$K13+'OECD Europe 2015'!$H13)/IF(('OECD Europe 2015'!$B13+'OECD Europe 2015'!$D13+'OECD Europe 2015'!$E13+'OECD Europe 2015'!$F13+'OECD Europe 2015'!$I13)=0,1,('OECD Europe 2015'!$B13+'OECD Europe 2015'!$D13+'OECD Europe 2015'!$E13+'OECD Europe 2015'!$F13+'OECD Europe 2015'!$I13))*-1</f>
        <v>0.5895450206009446</v>
      </c>
      <c r="G105" s="40">
        <f>('OECD Europe 2018'!$J13+'OECD Europe 2018'!$K13+'OECD Europe 2018'!$H13)/IF(('OECD Europe 2018'!$B13+'OECD Europe 2018'!$D13+'OECD Europe 2018'!$E13+'OECD Europe 2018'!$F13+'OECD Europe 2018'!$I13)=0,1,('OECD Europe 2018'!$B13+'OECD Europe 2018'!$D13+'OECD Europe 2018'!$E13+'OECD Europe 2018'!$F13+'OECD Europe 2018'!$I13))*-1</f>
        <v>0.60706296852524255</v>
      </c>
      <c r="H105" s="77">
        <f t="shared" si="1"/>
        <v>0.60706296852524255</v>
      </c>
      <c r="I105" s="77">
        <f t="shared" si="1"/>
        <v>0.60706296852524255</v>
      </c>
    </row>
    <row r="106" spans="1:9" x14ac:dyDescent="0.35">
      <c r="A106" s="30" t="s">
        <v>178</v>
      </c>
      <c r="B106" s="40">
        <f>('OECD Europe 1995'!$K14+'OECD Europe 1995'!$H14)/IF(('OECD Europe 1995'!$B14+'OECD Europe 1995'!$D14+'OECD Europe 1995'!$E14+'OECD Europe 1995'!$I14)=0,1,('OECD Europe 1995'!$B14+'OECD Europe 1995'!$D14+'OECD Europe 1995'!$E14+'OECD Europe 1995'!$I14))*-1</f>
        <v>0.84681555004135645</v>
      </c>
      <c r="C106" s="40">
        <f>('OECD Europe 2000'!$K14+'OECD Europe 2000'!$H14)/IF(('OECD Europe 2000'!$B14+'OECD Europe 2000'!$D14+'OECD Europe 2000'!$E14+'OECD Europe 2000'!$I14)=0,1,('OECD Europe 2000'!$B14+'OECD Europe 2000'!$D14+'OECD Europe 2000'!$E14+'OECD Europe 2000'!$I14))*-1</f>
        <v>0.8399351012644064</v>
      </c>
      <c r="D106" s="40">
        <f>('OECD Europe 2005'!$K14+'OECD Europe 2005'!$H14)/IF(('OECD Europe 2005'!$B14+'OECD Europe 2005'!$D14+'OECD Europe 2005'!$E14+'OECD Europe 2005'!$I14)=0,1,('OECD Europe 2005'!$B14+'OECD Europe 2005'!$D14+'OECD Europe 2005'!$E14+'OECD Europe 2005'!$I14))*-1</f>
        <v>0.80437487041260625</v>
      </c>
      <c r="E106" s="40">
        <f>('OECD Europe 2010'!$K14+'OECD Europe 2010'!$H14)/IF(('OECD Europe 2010'!$B14+'OECD Europe 2010'!$D14+'OECD Europe 2010'!$E14+'OECD Europe 2010'!$I14)=0,1,('OECD Europe 2010'!$B14+'OECD Europe 2010'!$D14+'OECD Europe 2010'!$E14+'OECD Europe 2010'!$I14))*-1</f>
        <v>0.80460297084173849</v>
      </c>
      <c r="F106" s="40">
        <f>('OECD Europe 2015'!$K14+'OECD Europe 2015'!$H14)/IF(('OECD Europe 2015'!$B14+'OECD Europe 2015'!$D14+'OECD Europe 2015'!$E14+'OECD Europe 2015'!$I14)=0,1,('OECD Europe 2015'!$B14+'OECD Europe 2015'!$D14+'OECD Europe 2015'!$E14+'OECD Europe 2015'!$I14))*-1</f>
        <v>0.81435216641404906</v>
      </c>
      <c r="G106" s="40">
        <f>('OECD Europe 2018'!$K14+'OECD Europe 2018'!$H14)/IF(('OECD Europe 2018'!$B14+'OECD Europe 2018'!$D14+'OECD Europe 2018'!$E14+'OECD Europe 2018'!$I14)=0,1,('OECD Europe 2018'!$B14+'OECD Europe 2018'!$D14+'OECD Europe 2018'!$E14+'OECD Europe 2018'!$I14))*-1</f>
        <v>0.84947760802226069</v>
      </c>
      <c r="H106" s="77">
        <f t="shared" si="1"/>
        <v>0.84947760802226069</v>
      </c>
      <c r="I106" s="77">
        <f t="shared" si="1"/>
        <v>0.84947760802226069</v>
      </c>
    </row>
    <row r="107" spans="1:9" x14ac:dyDescent="0.35">
      <c r="A107" s="30" t="s">
        <v>170</v>
      </c>
      <c r="B107" s="40">
        <f>'OECD Europe 1995'!$D16/IF('OECD Europe 1995'!$C16=0,1,'OECD Europe 1995'!$C16)*-1</f>
        <v>0.99217620786508909</v>
      </c>
      <c r="C107" s="40">
        <f>'OECD Europe 2000'!$D16/IF('OECD Europe 2000'!$C16=0,1,'OECD Europe 2000'!$C16)*-1</f>
        <v>0.99007249344358772</v>
      </c>
      <c r="D107" s="40">
        <f>'OECD Europe 2005'!$D16/IF('OECD Europe 2005'!$C16=0,1,'OECD Europe 2005'!$C16)*-1</f>
        <v>0.98743380033984141</v>
      </c>
      <c r="E107" s="40">
        <f>'OECD Europe 2010'!$D16/IF('OECD Europe 2010'!$C16=0,1,'OECD Europe 2010'!$C16)*-1</f>
        <v>0.98812632057187044</v>
      </c>
      <c r="F107" s="40">
        <f>'OECD Europe 2015'!$D16/IF('OECD Europe 2015'!$C16=0,1,'OECD Europe 2015'!$C16)*-1</f>
        <v>0.99125707800864382</v>
      </c>
      <c r="G107" s="40">
        <f>'OECD Europe 2018'!$D16/IF('OECD Europe 2018'!$C16=0,1,'OECD Europe 2018'!$C16)*-1</f>
        <v>0.99066668247161771</v>
      </c>
      <c r="H107" s="77">
        <f t="shared" si="1"/>
        <v>0.99066668247161771</v>
      </c>
      <c r="I107" s="77">
        <f t="shared" si="1"/>
        <v>0.99066668247161771</v>
      </c>
    </row>
    <row r="108" spans="1:9" x14ac:dyDescent="0.35">
      <c r="A108" s="32" t="s">
        <v>179</v>
      </c>
      <c r="B108" s="82"/>
      <c r="C108" s="82"/>
      <c r="D108" s="82"/>
      <c r="E108" s="82"/>
      <c r="F108" s="82"/>
      <c r="G108" s="82"/>
      <c r="H108" s="42"/>
      <c r="I108" s="42"/>
    </row>
    <row r="109" spans="1:9" x14ac:dyDescent="0.35">
      <c r="A109" s="30" t="s">
        <v>141</v>
      </c>
      <c r="B109" s="40">
        <f>'OECD Europe 1995'!$B12/('OECD Europe 1995'!$L12-'OECD Europe 1995'!$J12-'OECD Europe 1995'!$G12-'OECD Europe 1995'!$H12)</f>
        <v>0.3564925659268095</v>
      </c>
      <c r="C109" s="40">
        <f>'OECD Europe 2000'!$B12/('OECD Europe 2000'!$L12-'OECD Europe 2000'!$J12-'OECD Europe 2000'!$G12-'OECD Europe 2000'!$H12)</f>
        <v>0.33367312333004651</v>
      </c>
      <c r="D109" s="40">
        <f>'OECD Europe 2005'!$B12/('OECD Europe 2005'!$L12-'OECD Europe 2005'!$J12-'OECD Europe 2005'!$G12-'OECD Europe 2005'!$H12)</f>
        <v>0.32537162908669237</v>
      </c>
      <c r="E109" s="40">
        <f>'OECD Europe 2010'!$B12/('OECD Europe 2010'!$L12-'OECD Europe 2010'!$J12-'OECD Europe 2010'!$G12-'OECD Europe 2010'!$H12)</f>
        <v>0.2836404930133215</v>
      </c>
      <c r="F109" s="40">
        <f>'OECD Europe 2015'!$B12/('OECD Europe 2015'!$L12-'OECD Europe 2015'!$J12-'OECD Europe 2015'!$G12-'OECD Europe 2015'!$H12)</f>
        <v>0.32000656199375244</v>
      </c>
      <c r="G109" s="40">
        <f>'OECD Europe 2018'!$B12/('OECD Europe 2018'!$L12-'OECD Europe 2018'!$J12-'OECD Europe 2018'!$G12-'OECD Europe 2018'!$H12)</f>
        <v>0.27325975868400698</v>
      </c>
      <c r="H109" s="89">
        <f>1-H110-H111-H112-H113-H114</f>
        <v>0.27440560635032102</v>
      </c>
      <c r="I109" s="89">
        <f>1-I110-I111-I112-I113-I114</f>
        <v>0.27440560635032102</v>
      </c>
    </row>
    <row r="110" spans="1:9" x14ac:dyDescent="0.35">
      <c r="A110" s="30" t="s">
        <v>142</v>
      </c>
      <c r="B110" s="40">
        <f>'OECD Europe 1995'!$C12/('OECD Europe 1995'!$L12-'OECD Europe 1995'!$J12-'OECD Europe 1995'!$G12-'OECD Europe 1995'!$H12)</f>
        <v>1.8382822817705449E-3</v>
      </c>
      <c r="C110" s="40">
        <f>'OECD Europe 2000'!$C12/('OECD Europe 2000'!$L12-'OECD Europe 2000'!$J12-'OECD Europe 2000'!$G12-'OECD Europe 2000'!$H12)</f>
        <v>0</v>
      </c>
      <c r="D110" s="40">
        <f>'OECD Europe 2005'!$C12/('OECD Europe 2005'!$L12-'OECD Europe 2005'!$J12-'OECD Europe 2005'!$G12-'OECD Europe 2005'!$H12)</f>
        <v>3.7771981877003094E-6</v>
      </c>
      <c r="E110" s="40">
        <f>'OECD Europe 2010'!$C12/('OECD Europe 2010'!$L12-'OECD Europe 2010'!$J12-'OECD Europe 2010'!$G12-'OECD Europe 2010'!$H12)</f>
        <v>0</v>
      </c>
      <c r="F110" s="40">
        <f>'OECD Europe 2015'!$C12/('OECD Europe 2015'!$L12-'OECD Europe 2015'!$J12-'OECD Europe 2015'!$G12-'OECD Europe 2015'!$H12)</f>
        <v>0</v>
      </c>
      <c r="G110" s="40">
        <f>'OECD Europe 2018'!$C12/('OECD Europe 2018'!$L12-'OECD Europe 2018'!$J12-'OECD Europe 2018'!$G12-'OECD Europe 2018'!$H12)</f>
        <v>0</v>
      </c>
      <c r="H110" s="77">
        <f t="shared" si="1"/>
        <v>0</v>
      </c>
      <c r="I110" s="77">
        <f t="shared" si="1"/>
        <v>0</v>
      </c>
    </row>
    <row r="111" spans="1:9" x14ac:dyDescent="0.35">
      <c r="A111" s="30" t="s">
        <v>143</v>
      </c>
      <c r="B111" s="40">
        <f>'OECD Europe 1995'!$D12/('OECD Europe 1995'!$L12-'OECD Europe 1995'!$J12-'OECD Europe 1995'!$G12-'OECD Europe 1995'!$H12)</f>
        <v>8.1003706386060581E-2</v>
      </c>
      <c r="C111" s="40">
        <f>'OECD Europe 2000'!$D12/('OECD Europe 2000'!$L12-'OECD Europe 2000'!$J12-'OECD Europe 2000'!$G12-'OECD Europe 2000'!$H12)</f>
        <v>6.0195758244644876E-2</v>
      </c>
      <c r="D111" s="40">
        <f>'OECD Europe 2005'!$D12/('OECD Europe 2005'!$L12-'OECD Europe 2005'!$J12-'OECD Europe 2005'!$G12-'OECD Europe 2005'!$H12)</f>
        <v>3.9702130150917954E-2</v>
      </c>
      <c r="E111" s="40">
        <f>'OECD Europe 2010'!$D12/('OECD Europe 2010'!$L12-'OECD Europe 2010'!$J12-'OECD Europe 2010'!$G12-'OECD Europe 2010'!$H12)</f>
        <v>2.0440415941556645E-2</v>
      </c>
      <c r="F111" s="40">
        <f>'OECD Europe 2015'!$D12/('OECD Europe 2015'!$L12-'OECD Europe 2015'!$J12-'OECD Europe 2015'!$G12-'OECD Europe 2015'!$H12)</f>
        <v>1.8161684791895939E-2</v>
      </c>
      <c r="G111" s="40">
        <f>'OECD Europe 2018'!$D12/('OECD Europe 2018'!$L12-'OECD Europe 2018'!$J12-'OECD Europe 2018'!$G12-'OECD Europe 2018'!$H12)</f>
        <v>1.4888902595831296E-2</v>
      </c>
      <c r="H111" s="77">
        <f t="shared" si="1"/>
        <v>1.4888902595831296E-2</v>
      </c>
      <c r="I111" s="77">
        <f t="shared" si="1"/>
        <v>1.4888902595831296E-2</v>
      </c>
    </row>
    <row r="112" spans="1:9" x14ac:dyDescent="0.35">
      <c r="A112" s="30" t="s">
        <v>241</v>
      </c>
      <c r="B112" s="40">
        <f>'OECD Europe 1995'!$E12/('OECD Europe 1995'!$L12-'OECD Europe 1995'!$J12-'OECD Europe 1995'!$G12-'OECD Europe 1995'!$H12)</f>
        <v>7.289864951220551E-2</v>
      </c>
      <c r="C112" s="40">
        <f>'OECD Europe 2000'!$E12/('OECD Europe 2000'!$L12-'OECD Europe 2000'!$J12-'OECD Europe 2000'!$G12-'OECD Europe 2000'!$H12)</f>
        <v>0.11997200653180924</v>
      </c>
      <c r="D112" s="40">
        <f>'OECD Europe 2005'!$E12/('OECD Europe 2005'!$L12-'OECD Europe 2005'!$J12-'OECD Europe 2005'!$G12-'OECD Europe 2005'!$H12)</f>
        <v>0.14132198159371323</v>
      </c>
      <c r="E112" s="40">
        <f>'OECD Europe 2010'!$E12/('OECD Europe 2010'!$L12-'OECD Europe 2010'!$J12-'OECD Europe 2010'!$G12-'OECD Europe 2010'!$H12)</f>
        <v>0.18423021500152709</v>
      </c>
      <c r="F112" s="40">
        <f>'OECD Europe 2015'!$E12/('OECD Europe 2015'!$L12-'OECD Europe 2015'!$J12-'OECD Europe 2015'!$G12-'OECD Europe 2015'!$H12)</f>
        <v>0.11985436019421679</v>
      </c>
      <c r="G112" s="40">
        <f>'OECD Europe 2018'!$E12/('OECD Europe 2018'!$L12-'OECD Europe 2018'!$J12-'OECD Europe 2018'!$G12-'OECD Europe 2018'!$H12)</f>
        <v>0.15326602170230735</v>
      </c>
      <c r="H112" s="77">
        <f t="shared" si="1"/>
        <v>0.15326602170230735</v>
      </c>
      <c r="I112" s="77">
        <f t="shared" si="1"/>
        <v>0.15326602170230735</v>
      </c>
    </row>
    <row r="113" spans="1:11" x14ac:dyDescent="0.35">
      <c r="A113" s="30" t="s">
        <v>180</v>
      </c>
      <c r="B113" s="40">
        <f>'OECD Europe 1995'!$F12/('OECD Europe 1995'!$L12-'OECD Europe 1995'!$J12-'OECD Europe 1995'!$G12-'OECD Europe 1995'!$H12)</f>
        <v>0.4787628338942615</v>
      </c>
      <c r="C113" s="40">
        <f>'OECD Europe 2000'!$F12/('OECD Europe 2000'!$L12-'OECD Europe 2000'!$J12-'OECD Europe 2000'!$G12-'OECD Europe 2000'!$H12)</f>
        <v>0.47257796710179389</v>
      </c>
      <c r="D113" s="40">
        <f>'OECD Europe 2005'!$F12/('OECD Europe 2005'!$L12-'OECD Europe 2005'!$J12-'OECD Europe 2005'!$G12-'OECD Europe 2005'!$H12)</f>
        <v>0.46991556073451396</v>
      </c>
      <c r="E113" s="40">
        <f>'OECD Europe 2010'!$F12/('OECD Europe 2010'!$L12-'OECD Europe 2010'!$J12-'OECD Europe 2010'!$G12-'OECD Europe 2010'!$H12)</f>
        <v>0.47545489764418669</v>
      </c>
      <c r="F113" s="40">
        <f>'OECD Europe 2015'!$F12/('OECD Europe 2015'!$L12-'OECD Europe 2015'!$J12-'OECD Europe 2015'!$G12-'OECD Europe 2015'!$H12)</f>
        <v>0.49058194403621858</v>
      </c>
      <c r="G113" s="40">
        <f>'OECD Europe 2018'!$F12/('OECD Europe 2018'!$L12-'OECD Europe 2018'!$J12-'OECD Europe 2018'!$G12-'OECD Europe 2018'!$H12)</f>
        <v>0.50332841464976918</v>
      </c>
      <c r="H113" s="77">
        <f t="shared" si="1"/>
        <v>0.50332841464976918</v>
      </c>
      <c r="I113" s="77">
        <f t="shared" si="1"/>
        <v>0.50332841464976918</v>
      </c>
    </row>
    <row r="114" spans="1:11" x14ac:dyDescent="0.35">
      <c r="A114" s="30" t="s">
        <v>146</v>
      </c>
      <c r="B114" s="40">
        <f>'OECD Europe 1995'!$I12/('OECD Europe 1995'!$L12-'OECD Europe 1995'!$J12-'OECD Europe 1995'!$G12-'OECD Europe 1995'!$H12)</f>
        <v>8.8931964384612108E-3</v>
      </c>
      <c r="C114" s="40">
        <f>'OECD Europe 2000'!$I12/('OECD Europe 2000'!$L12-'OECD Europe 2000'!$J12-'OECD Europe 2000'!$G12-'OECD Europe 2000'!$H12)</f>
        <v>1.3412556677951616E-2</v>
      </c>
      <c r="D114" s="40">
        <f>'OECD Europe 2005'!$I12/('OECD Europe 2005'!$L12-'OECD Europe 2005'!$J12-'OECD Europe 2005'!$G12-'OECD Europe 2005'!$H12)</f>
        <v>2.3203328467043E-2</v>
      </c>
      <c r="E114" s="40">
        <f>'OECD Europe 2010'!$I12/('OECD Europe 2010'!$L12-'OECD Europe 2010'!$J12-'OECD Europe 2010'!$G12-'OECD Europe 2010'!$H12)</f>
        <v>3.5754329649876911E-2</v>
      </c>
      <c r="F114" s="40">
        <f>'OECD Europe 2015'!$I12/('OECD Europe 2015'!$L12-'OECD Europe 2015'!$J12-'OECD Europe 2015'!$G12-'OECD Europe 2015'!$H12)</f>
        <v>5.0356466639780717E-2</v>
      </c>
      <c r="G114" s="40">
        <f>'OECD Europe 2018'!$I12/('OECD Europe 2018'!$L12-'OECD Europe 2018'!$J12-'OECD Europe 2018'!$G12-'OECD Europe 2018'!$H12)</f>
        <v>5.4111054701771202E-2</v>
      </c>
      <c r="H114" s="77">
        <f t="shared" si="1"/>
        <v>5.4111054701771202E-2</v>
      </c>
      <c r="I114" s="77">
        <f t="shared" si="1"/>
        <v>5.4111054701771202E-2</v>
      </c>
    </row>
    <row r="115" spans="1:11" x14ac:dyDescent="0.35">
      <c r="A115" s="32" t="s">
        <v>181</v>
      </c>
      <c r="B115" s="82"/>
      <c r="C115" s="82"/>
      <c r="D115" s="82"/>
      <c r="E115" s="82"/>
      <c r="F115" s="82"/>
      <c r="G115" s="82"/>
      <c r="H115" s="42"/>
      <c r="I115" s="42"/>
    </row>
    <row r="116" spans="1:11" x14ac:dyDescent="0.35">
      <c r="A116" s="30" t="s">
        <v>141</v>
      </c>
      <c r="B116" s="40">
        <f>'OECD Europe 1995'!$B13/IF(('OECD Europe 1995'!$L13-'OECD Europe 1995'!$J13-'OECD Europe 1995'!$K13-'OECD Europe 1995'!$G13-'OECD Europe 1995'!$H13)=0,1,('OECD Europe 1995'!$L13-'OECD Europe 1995'!$J13-'OECD Europe 1995'!$K13-'OECD Europe 1995'!$G13-'OECD Europe 1995'!$H13))</f>
        <v>0.60314282768575156</v>
      </c>
      <c r="C116" s="40">
        <f>'OECD Europe 2000'!$B13/IF(('OECD Europe 2000'!$L13-'OECD Europe 2000'!$J13-'OECD Europe 2000'!$K13-'OECD Europe 2000'!$G13-'OECD Europe 2000'!$H13)=0,1,('OECD Europe 2000'!$L13-'OECD Europe 2000'!$J13-'OECD Europe 2000'!$K13-'OECD Europe 2000'!$G13-'OECD Europe 2000'!$H13))</f>
        <v>0.49940789639446698</v>
      </c>
      <c r="D116" s="40">
        <f>'OECD Europe 2005'!$B13/IF(('OECD Europe 2005'!$L13-'OECD Europe 2005'!$J13-'OECD Europe 2005'!$K13-'OECD Europe 2005'!$G13-'OECD Europe 2005'!$H13)=0,1,('OECD Europe 2005'!$L13-'OECD Europe 2005'!$J13-'OECD Europe 2005'!$K13-'OECD Europe 2005'!$G13-'OECD Europe 2005'!$H13))</f>
        <v>0.39066698641676967</v>
      </c>
      <c r="E116" s="40">
        <f>'OECD Europe 2010'!$B13/IF(('OECD Europe 2010'!$L13-'OECD Europe 2010'!$J13-'OECD Europe 2010'!$K13-'OECD Europe 2010'!$G13-'OECD Europe 2010'!$H13)=0,1,('OECD Europe 2010'!$L13-'OECD Europe 2010'!$J13-'OECD Europe 2010'!$K13-'OECD Europe 2010'!$G13-'OECD Europe 2010'!$H13))</f>
        <v>0.38941148637992024</v>
      </c>
      <c r="F116" s="40">
        <f>'OECD Europe 2015'!$B13/IF(('OECD Europe 2015'!$L13-'OECD Europe 2015'!$J13-'OECD Europe 2015'!$K13-'OECD Europe 2015'!$G13-'OECD Europe 2015'!$H13)=0,1,('OECD Europe 2015'!$L13-'OECD Europe 2015'!$J13-'OECD Europe 2015'!$K13-'OECD Europe 2015'!$G13-'OECD Europe 2015'!$H13))</f>
        <v>0.38144168022258929</v>
      </c>
      <c r="G116" s="40">
        <f>'OECD Europe 2018'!$B13/IF(('OECD Europe 2018'!$L13-'OECD Europe 2018'!$J13-'OECD Europe 2018'!$K13-'OECD Europe 2018'!$G13-'OECD Europe 2018'!$H13)=0,1,('OECD Europe 2018'!$L13-'OECD Europe 2018'!$J13-'OECD Europe 2018'!$K13-'OECD Europe 2018'!$G13-'OECD Europe 2018'!$H13))</f>
        <v>0.35959926239948292</v>
      </c>
      <c r="H116" s="89">
        <f>1-H117-H118-H119-H120-H121</f>
        <v>0.35959926239948281</v>
      </c>
      <c r="I116" s="89">
        <f>1-I117-I118-I119-I120-I121</f>
        <v>0.35959926239948281</v>
      </c>
    </row>
    <row r="117" spans="1:11" x14ac:dyDescent="0.35">
      <c r="A117" s="30" t="s">
        <v>142</v>
      </c>
      <c r="B117" s="40">
        <f>'OECD Europe 1995'!$C13/IF(('OECD Europe 1995'!$L13-'OECD Europe 1995'!$J13-'OECD Europe 1995'!$K13-'OECD Europe 1995'!$G13-'OECD Europe 1995'!$H13)=0,1,('OECD Europe 1995'!$L13-'OECD Europe 1995'!$J13-'OECD Europe 1995'!$K13-'OECD Europe 1995'!$G13-'OECD Europe 1995'!$H13))</f>
        <v>4.2356863014640185E-3</v>
      </c>
      <c r="C117" s="40">
        <f>'OECD Europe 2000'!$C13/IF(('OECD Europe 2000'!$L13-'OECD Europe 2000'!$J13-'OECD Europe 2000'!$K13-'OECD Europe 2000'!$G13-'OECD Europe 2000'!$H13)=0,1,('OECD Europe 2000'!$L13-'OECD Europe 2000'!$J13-'OECD Europe 2000'!$K13-'OECD Europe 2000'!$G13-'OECD Europe 2000'!$H13))</f>
        <v>6.9792637758572902E-3</v>
      </c>
      <c r="D117" s="40">
        <f>'OECD Europe 2005'!$C13/IF(('OECD Europe 2005'!$L13-'OECD Europe 2005'!$J13-'OECD Europe 2005'!$K13-'OECD Europe 2005'!$G13-'OECD Europe 2005'!$H13)=0,1,('OECD Europe 2005'!$L13-'OECD Europe 2005'!$J13-'OECD Europe 2005'!$K13-'OECD Europe 2005'!$G13-'OECD Europe 2005'!$H13))</f>
        <v>3.5049530520762234E-4</v>
      </c>
      <c r="E117" s="40">
        <f>'OECD Europe 2010'!$C13/IF(('OECD Europe 2010'!$L13-'OECD Europe 2010'!$J13-'OECD Europe 2010'!$K13-'OECD Europe 2010'!$G13-'OECD Europe 2010'!$H13)=0,1,('OECD Europe 2010'!$L13-'OECD Europe 2010'!$J13-'OECD Europe 2010'!$K13-'OECD Europe 2010'!$G13-'OECD Europe 2010'!$H13))</f>
        <v>0</v>
      </c>
      <c r="F117" s="40">
        <f>'OECD Europe 2015'!$C13/IF(('OECD Europe 2015'!$L13-'OECD Europe 2015'!$J13-'OECD Europe 2015'!$K13-'OECD Europe 2015'!$G13-'OECD Europe 2015'!$H13)=0,1,('OECD Europe 2015'!$L13-'OECD Europe 2015'!$J13-'OECD Europe 2015'!$K13-'OECD Europe 2015'!$G13-'OECD Europe 2015'!$H13))</f>
        <v>0</v>
      </c>
      <c r="G117" s="40">
        <f>'OECD Europe 2018'!$C13/IF(('OECD Europe 2018'!$L13-'OECD Europe 2018'!$J13-'OECD Europe 2018'!$K13-'OECD Europe 2018'!$G13-'OECD Europe 2018'!$H13)=0,1,('OECD Europe 2018'!$L13-'OECD Europe 2018'!$J13-'OECD Europe 2018'!$K13-'OECD Europe 2018'!$G13-'OECD Europe 2018'!$H13))</f>
        <v>0</v>
      </c>
      <c r="H117" s="77">
        <f t="shared" si="1"/>
        <v>0</v>
      </c>
      <c r="I117" s="77">
        <f t="shared" si="1"/>
        <v>0</v>
      </c>
    </row>
    <row r="118" spans="1:11" x14ac:dyDescent="0.35">
      <c r="A118" s="30" t="s">
        <v>143</v>
      </c>
      <c r="B118" s="40">
        <f>'OECD Europe 1995'!$D13/IF('OECD Europe 1995'!$L13-'OECD Europe 1995'!$J13-'OECD Europe 1995'!$K13-'OECD Europe 1995'!$G13-'OECD Europe 1995'!$H13=0,1,('OECD Europe 1995'!$L13-'OECD Europe 1995'!$J13-'OECD Europe 1995'!$K13-'OECD Europe 1995'!$G13-'OECD Europe 1995'!$H13))</f>
        <v>8.786686370197265E-2</v>
      </c>
      <c r="C118" s="40">
        <f>'OECD Europe 2000'!$D13/IF('OECD Europe 2000'!$L13-'OECD Europe 2000'!$J13-'OECD Europe 2000'!$K13-'OECD Europe 2000'!$G13-'OECD Europe 2000'!$H13=0,1,('OECD Europe 2000'!$L13-'OECD Europe 2000'!$J13-'OECD Europe 2000'!$K13-'OECD Europe 2000'!$G13-'OECD Europe 2000'!$H13))</f>
        <v>6.7676182317518707E-2</v>
      </c>
      <c r="D118" s="40">
        <f>'OECD Europe 2005'!$D13/IF('OECD Europe 2005'!$L13-'OECD Europe 2005'!$J13-'OECD Europe 2005'!$K13-'OECD Europe 2005'!$G13-'OECD Europe 2005'!$H13=0,1,('OECD Europe 2005'!$L13-'OECD Europe 2005'!$J13-'OECD Europe 2005'!$K13-'OECD Europe 2005'!$G13-'OECD Europe 2005'!$H13))</f>
        <v>7.4514072079052057E-2</v>
      </c>
      <c r="E118" s="40">
        <f>'OECD Europe 2010'!$D13/IF('OECD Europe 2010'!$L13-'OECD Europe 2010'!$J13-'OECD Europe 2010'!$K13-'OECD Europe 2010'!$G13-'OECD Europe 2010'!$H13=0,1,('OECD Europe 2010'!$L13-'OECD Europe 2010'!$J13-'OECD Europe 2010'!$K13-'OECD Europe 2010'!$G13-'OECD Europe 2010'!$H13))</f>
        <v>6.1504404839690871E-2</v>
      </c>
      <c r="F118" s="40">
        <f>'OECD Europe 2015'!$D13/IF('OECD Europe 2015'!$L13-'OECD Europe 2015'!$J13-'OECD Europe 2015'!$K13-'OECD Europe 2015'!$G13-'OECD Europe 2015'!$H13=0,1,('OECD Europe 2015'!$L13-'OECD Europe 2015'!$J13-'OECD Europe 2015'!$K13-'OECD Europe 2015'!$G13-'OECD Europe 2015'!$H13))</f>
        <v>4.7231137378546263E-2</v>
      </c>
      <c r="G118" s="40">
        <f>'OECD Europe 2018'!$D13/IF('OECD Europe 2018'!$L13-'OECD Europe 2018'!$J13-'OECD Europe 2018'!$K13-'OECD Europe 2018'!$G13-'OECD Europe 2018'!$H13=0,1,('OECD Europe 2018'!$L13-'OECD Europe 2018'!$J13-'OECD Europe 2018'!$K13-'OECD Europe 2018'!$G13-'OECD Europe 2018'!$H13))</f>
        <v>4.3457597475429155E-2</v>
      </c>
      <c r="H118" s="77">
        <f t="shared" si="1"/>
        <v>4.3457597475429155E-2</v>
      </c>
      <c r="I118" s="77">
        <f t="shared" si="1"/>
        <v>4.3457597475429155E-2</v>
      </c>
    </row>
    <row r="119" spans="1:11" x14ac:dyDescent="0.35">
      <c r="A119" s="30" t="s">
        <v>241</v>
      </c>
      <c r="B119" s="40">
        <f>'OECD Europe 1995'!$E13/IF(('OECD Europe 1995'!$L13-'OECD Europe 1995'!$J13-'OECD Europe 1995'!$K13-'OECD Europe 1995'!$G13-'OECD Europe 1995'!$H13)=0,1,('OECD Europe 1995'!$L13-'OECD Europe 1995'!$J13-'OECD Europe 1995'!$K13-'OECD Europe 1995'!$G13-'OECD Europe 1995'!$H13))</f>
        <v>0.18897346896693931</v>
      </c>
      <c r="C119" s="40">
        <f>'OECD Europe 2000'!$E13/IF(('OECD Europe 2000'!$L13-'OECD Europe 2000'!$J13-'OECD Europe 2000'!$K13-'OECD Europe 2000'!$G13-'OECD Europe 2000'!$H13)=0,1,('OECD Europe 2000'!$L13-'OECD Europe 2000'!$J13-'OECD Europe 2000'!$K13-'OECD Europe 2000'!$G13-'OECD Europe 2000'!$H13))</f>
        <v>0.30277070892858643</v>
      </c>
      <c r="D119" s="40">
        <f>'OECD Europe 2005'!$E13/IF(('OECD Europe 2005'!$L13-'OECD Europe 2005'!$J13-'OECD Europe 2005'!$K13-'OECD Europe 2005'!$G13-'OECD Europe 2005'!$H13)=0,1,('OECD Europe 2005'!$L13-'OECD Europe 2005'!$J13-'OECD Europe 2005'!$K13-'OECD Europe 2005'!$G13-'OECD Europe 2005'!$H13))</f>
        <v>0.37017223462278709</v>
      </c>
      <c r="E119" s="40">
        <f>'OECD Europe 2010'!$E13/IF(('OECD Europe 2010'!$L13-'OECD Europe 2010'!$J13-'OECD Europe 2010'!$K13-'OECD Europe 2010'!$G13-'OECD Europe 2010'!$H13)=0,1,('OECD Europe 2010'!$L13-'OECD Europe 2010'!$J13-'OECD Europe 2010'!$K13-'OECD Europe 2010'!$G13-'OECD Europe 2010'!$H13))</f>
        <v>0.36893067165356103</v>
      </c>
      <c r="F119" s="40">
        <f>'OECD Europe 2015'!$E13/IF(('OECD Europe 2015'!$L13-'OECD Europe 2015'!$J13-'OECD Europe 2015'!$K13-'OECD Europe 2015'!$G13-'OECD Europe 2015'!$H13)=0,1,('OECD Europe 2015'!$L13-'OECD Europe 2015'!$J13-'OECD Europe 2015'!$K13-'OECD Europe 2015'!$G13-'OECD Europe 2015'!$H13))</f>
        <v>0.31299421544181838</v>
      </c>
      <c r="G119" s="40">
        <f>'OECD Europe 2018'!$E13/IF(('OECD Europe 2018'!$L13-'OECD Europe 2018'!$J13-'OECD Europe 2018'!$K13-'OECD Europe 2018'!$G13-'OECD Europe 2018'!$H13)=0,1,('OECD Europe 2018'!$L13-'OECD Europe 2018'!$J13-'OECD Europe 2018'!$K13-'OECD Europe 2018'!$G13-'OECD Europe 2018'!$H13))</f>
        <v>0.34439100431534325</v>
      </c>
      <c r="H119" s="77">
        <f t="shared" si="1"/>
        <v>0.34439100431534325</v>
      </c>
      <c r="I119" s="77">
        <f t="shared" si="1"/>
        <v>0.34439100431534325</v>
      </c>
    </row>
    <row r="120" spans="1:11" x14ac:dyDescent="0.35">
      <c r="A120" s="30" t="s">
        <v>180</v>
      </c>
      <c r="B120" s="40">
        <f>'OECD Europe 1995'!$F13/IF(('OECD Europe 1995'!$L13-'OECD Europe 1995'!$J13-'OECD Europe 1995'!$K13-'OECD Europe 1995'!$G13-'OECD Europe 1995'!$H13)=0,1,('OECD Europe 1995'!$L13-'OECD Europe 1995'!$J13-'OECD Europe 1995'!$K13-'OECD Europe 1995'!$G13-'OECD Europe 1995'!$H13))</f>
        <v>5.8792700529245998E-2</v>
      </c>
      <c r="C120" s="40">
        <f>'OECD Europe 2000'!$F13/IF(('OECD Europe 2000'!$L13-'OECD Europe 2000'!$J13-'OECD Europe 2000'!$K13-'OECD Europe 2000'!$G13-'OECD Europe 2000'!$H13)=0,1,('OECD Europe 2000'!$L13-'OECD Europe 2000'!$J13-'OECD Europe 2000'!$K13-'OECD Europe 2000'!$G13-'OECD Europe 2000'!$H13))</f>
        <v>5.023222219422678E-2</v>
      </c>
      <c r="D120" s="40">
        <f>'OECD Europe 2005'!$F13/IF(('OECD Europe 2005'!$L13-'OECD Europe 2005'!$J13-'OECD Europe 2005'!$K13-'OECD Europe 2005'!$G13-'OECD Europe 2005'!$H13)=0,1,('OECD Europe 2005'!$L13-'OECD Europe 2005'!$J13-'OECD Europe 2005'!$K13-'OECD Europe 2005'!$G13-'OECD Europe 2005'!$H13))</f>
        <v>6.8162113302219191E-2</v>
      </c>
      <c r="E120" s="40">
        <f>'OECD Europe 2010'!$F13/IF(('OECD Europe 2010'!$L13-'OECD Europe 2010'!$J13-'OECD Europe 2010'!$K13-'OECD Europe 2010'!$G13-'OECD Europe 2010'!$H13)=0,1,('OECD Europe 2010'!$L13-'OECD Europe 2010'!$J13-'OECD Europe 2010'!$K13-'OECD Europe 2010'!$G13-'OECD Europe 2010'!$H13))</f>
        <v>3.8680350584683325E-2</v>
      </c>
      <c r="F120" s="40">
        <f>'OECD Europe 2015'!$F13/IF(('OECD Europe 2015'!$L13-'OECD Europe 2015'!$J13-'OECD Europe 2015'!$K13-'OECD Europe 2015'!$G13-'OECD Europe 2015'!$H13)=0,1,('OECD Europe 2015'!$L13-'OECD Europe 2015'!$J13-'OECD Europe 2015'!$K13-'OECD Europe 2015'!$G13-'OECD Europe 2015'!$H13))</f>
        <v>4.4442490437578905E-2</v>
      </c>
      <c r="G120" s="40">
        <f>'OECD Europe 2018'!$F13/IF(('OECD Europe 2018'!$L13-'OECD Europe 2018'!$J13-'OECD Europe 2018'!$K13-'OECD Europe 2018'!$G13-'OECD Europe 2018'!$H13)=0,1,('OECD Europe 2018'!$L13-'OECD Europe 2018'!$J13-'OECD Europe 2018'!$K13-'OECD Europe 2018'!$G13-'OECD Europe 2018'!$H13))</f>
        <v>1.8471696798027997E-2</v>
      </c>
      <c r="H120" s="77">
        <f t="shared" si="1"/>
        <v>1.8471696798027997E-2</v>
      </c>
      <c r="I120" s="77">
        <f t="shared" si="1"/>
        <v>1.8471696798027997E-2</v>
      </c>
    </row>
    <row r="121" spans="1:11" x14ac:dyDescent="0.35">
      <c r="A121" s="30" t="s">
        <v>146</v>
      </c>
      <c r="B121" s="40">
        <f>'OECD Europe 1995'!$I13/IF(('OECD Europe 1995'!$L13-'OECD Europe 1995'!$J13-'OECD Europe 1995'!$K13-'OECD Europe 1995'!$G13-'OECD Europe 1995'!$H13)=0,1,('OECD Europe 1995'!$L13-'OECD Europe 1995'!$J13-'OECD Europe 1995'!$K13-'OECD Europe 1995'!$G13-'OECD Europe 1995'!$H13))</f>
        <v>5.6979861158842529E-2</v>
      </c>
      <c r="C121" s="40">
        <f>'OECD Europe 2000'!$I13/IF(('OECD Europe 2000'!$L13-'OECD Europe 2000'!$J13-'OECD Europe 2000'!$K13-'OECD Europe 2000'!$G13-'OECD Europe 2000'!$H13)=0,1,('OECD Europe 2000'!$L13-'OECD Europe 2000'!$J13-'OECD Europe 2000'!$K13-'OECD Europe 2000'!$G13-'OECD Europe 2000'!$H13))</f>
        <v>7.2933726389343811E-2</v>
      </c>
      <c r="D121" s="40">
        <f>'OECD Europe 2005'!$I13/IF(('OECD Europe 2005'!$L13-'OECD Europe 2005'!$J13-'OECD Europe 2005'!$K13-'OECD Europe 2005'!$G13-'OECD Europe 2005'!$H13)=0,1,('OECD Europe 2005'!$L13-'OECD Europe 2005'!$J13-'OECD Europe 2005'!$K13-'OECD Europe 2005'!$G13-'OECD Europe 2005'!$H13))</f>
        <v>9.6134098273964352E-2</v>
      </c>
      <c r="E121" s="40">
        <f>'OECD Europe 2010'!$I13/IF(('OECD Europe 2010'!$L13-'OECD Europe 2010'!$J13-'OECD Europe 2010'!$K13-'OECD Europe 2010'!$G13-'OECD Europe 2010'!$H13)=0,1,('OECD Europe 2010'!$L13-'OECD Europe 2010'!$J13-'OECD Europe 2010'!$K13-'OECD Europe 2010'!$G13-'OECD Europe 2010'!$H13))</f>
        <v>0.14147308654214452</v>
      </c>
      <c r="F121" s="40">
        <f>'OECD Europe 2015'!$I13/IF(('OECD Europe 2015'!$L13-'OECD Europe 2015'!$J13-'OECD Europe 2015'!$K13-'OECD Europe 2015'!$G13-'OECD Europe 2015'!$H13)=0,1,('OECD Europe 2015'!$L13-'OECD Europe 2015'!$J13-'OECD Europe 2015'!$K13-'OECD Europe 2015'!$G13-'OECD Europe 2015'!$H13))</f>
        <v>0.2138841957831136</v>
      </c>
      <c r="G121" s="40">
        <f>'OECD Europe 2018'!$I13/IF(('OECD Europe 2018'!$L13-'OECD Europe 2018'!$J13-'OECD Europe 2018'!$K13-'OECD Europe 2018'!$G13-'OECD Europe 2018'!$H13)=0,1,('OECD Europe 2018'!$L13-'OECD Europe 2018'!$J13-'OECD Europe 2018'!$K13-'OECD Europe 2018'!$G13-'OECD Europe 2018'!$H13))</f>
        <v>0.23408043901171668</v>
      </c>
      <c r="H121" s="77">
        <f t="shared" si="1"/>
        <v>0.23408043901171668</v>
      </c>
      <c r="I121" s="77">
        <f t="shared" si="1"/>
        <v>0.23408043901171668</v>
      </c>
    </row>
    <row r="122" spans="1:11" x14ac:dyDescent="0.35">
      <c r="A122" s="32" t="s">
        <v>182</v>
      </c>
      <c r="B122" s="82"/>
      <c r="C122" s="82"/>
      <c r="D122" s="82"/>
      <c r="E122" s="82"/>
      <c r="F122" s="82"/>
      <c r="G122" s="82"/>
      <c r="H122" s="42"/>
      <c r="I122" s="42"/>
    </row>
    <row r="123" spans="1:11" x14ac:dyDescent="0.35">
      <c r="A123" s="30" t="s">
        <v>141</v>
      </c>
      <c r="B123" s="40">
        <f>'OECD Europe 1995'!$B14/IF(('OECD Europe 1995'!$L14-'OECD Europe 1995'!$J14-'OECD Europe 1995'!$K14-'OECD Europe 1995'!$G14-'OECD Europe 1995'!$H14)=0,1,('OECD Europe 1995'!$L14-'OECD Europe 1995'!$J14-'OECD Europe 1995'!$K14-'OECD Europe 1995'!$G14-'OECD Europe 1995'!$H14))</f>
        <v>0.38245672069687947</v>
      </c>
      <c r="C123" s="40">
        <f>'OECD Europe 2000'!$B14/IF(('OECD Europe 2000'!$L14-'OECD Europe 2000'!$J14-'OECD Europe 2000'!$K14-'OECD Europe 2000'!$G14-'OECD Europe 2000'!$H14)=0,1,('OECD Europe 2000'!$L14-'OECD Europe 2000'!$J14-'OECD Europe 2000'!$K14-'OECD Europe 2000'!$G14-'OECD Europe 2000'!$H14))</f>
        <v>0.28602595658984115</v>
      </c>
      <c r="D123" s="40">
        <f>'OECD Europe 2005'!$B14/IF(('OECD Europe 2005'!$L14-'OECD Europe 2005'!$J14-'OECD Europe 2005'!$K14-'OECD Europe 2005'!$G14-'OECD Europe 2005'!$H14)=0,1,('OECD Europe 2005'!$L14-'OECD Europe 2005'!$J14-'OECD Europe 2005'!$K14-'OECD Europe 2005'!$G14-'OECD Europe 2005'!$H14))</f>
        <v>0.23434584283640889</v>
      </c>
      <c r="E123" s="40">
        <f>'OECD Europe 2010'!$B14/IF(('OECD Europe 2010'!$L14-'OECD Europe 2010'!$J14-'OECD Europe 2010'!$K14-'OECD Europe 2010'!$G14-'OECD Europe 2010'!$H14)=0,1,('OECD Europe 2010'!$L14-'OECD Europe 2010'!$J14-'OECD Europe 2010'!$K14-'OECD Europe 2010'!$G14-'OECD Europe 2010'!$H14))</f>
        <v>0.24910591471801927</v>
      </c>
      <c r="F123" s="40">
        <f>'OECD Europe 2015'!$B14/IF(('OECD Europe 2015'!$L14-'OECD Europe 2015'!$J14-'OECD Europe 2015'!$K14-'OECD Europe 2015'!$G14-'OECD Europe 2015'!$H14)=0,1,('OECD Europe 2015'!$L14-'OECD Europe 2015'!$J14-'OECD Europe 2015'!$K14-'OECD Europe 2015'!$G14-'OECD Europe 2015'!$H14))</f>
        <v>0.18915952331172903</v>
      </c>
      <c r="G123" s="40">
        <f>'OECD Europe 2018'!$B14/IF(('OECD Europe 2018'!$L14-'OECD Europe 2018'!$J14-'OECD Europe 2018'!$K14-'OECD Europe 2018'!$G14-'OECD Europe 2018'!$H14)=0,1,('OECD Europe 2018'!$L14-'OECD Europe 2018'!$J14-'OECD Europe 2018'!$K14-'OECD Europe 2018'!$G14-'OECD Europe 2018'!$H14))</f>
        <v>0.1821809208799286</v>
      </c>
      <c r="H123" s="77">
        <f t="shared" si="1"/>
        <v>0.1821809208799286</v>
      </c>
      <c r="I123" s="77">
        <f t="shared" si="1"/>
        <v>0.1821809208799286</v>
      </c>
    </row>
    <row r="124" spans="1:11" x14ac:dyDescent="0.35">
      <c r="A124" s="30" t="s">
        <v>142</v>
      </c>
      <c r="B124" s="40">
        <f>'OECD Europe 1995'!$C14/IF(('OECD Europe 1995'!$L14-'OECD Europe 1995'!$J14-'OECD Europe 1995'!$K14-'OECD Europe 1995'!$G14-'OECD Europe 1995'!$H14)=0,1,('OECD Europe 1995'!$L14-'OECD Europe 1995'!$J14-'OECD Europe 1995'!$K14-'OECD Europe 1995'!$G14-'OECD Europe 1995'!$H14))</f>
        <v>2.2053148086889404E-4</v>
      </c>
      <c r="C124" s="40">
        <f>'OECD Europe 2000'!$C14/IF(('OECD Europe 2000'!$L14-'OECD Europe 2000'!$J14-'OECD Europe 2000'!$K14-'OECD Europe 2000'!$G14-'OECD Europe 2000'!$H14)=0,1,('OECD Europe 2000'!$L14-'OECD Europe 2000'!$J14-'OECD Europe 2000'!$K14-'OECD Europe 2000'!$G14-'OECD Europe 2000'!$H14))</f>
        <v>1.1188185276348176E-4</v>
      </c>
      <c r="D124" s="40">
        <f>'OECD Europe 2005'!$C14/IF(('OECD Europe 2005'!$L14-'OECD Europe 2005'!$J14-'OECD Europe 2005'!$K14-'OECD Europe 2005'!$G14-'OECD Europe 2005'!$H14)=0,1,('OECD Europe 2005'!$L14-'OECD Europe 2005'!$J14-'OECD Europe 2005'!$K14-'OECD Europe 2005'!$G14-'OECD Europe 2005'!$H14))</f>
        <v>0</v>
      </c>
      <c r="E124" s="40">
        <f>'OECD Europe 2010'!$C14/IF(('OECD Europe 2010'!$L14-'OECD Europe 2010'!$J14-'OECD Europe 2010'!$K14-'OECD Europe 2010'!$G14-'OECD Europe 2010'!$H14)=0,1,('OECD Europe 2010'!$L14-'OECD Europe 2010'!$J14-'OECD Europe 2010'!$K14-'OECD Europe 2010'!$G14-'OECD Europe 2010'!$H14))</f>
        <v>0</v>
      </c>
      <c r="F124" s="40">
        <f>'OECD Europe 2015'!$C14/IF(('OECD Europe 2015'!$L14-'OECD Europe 2015'!$J14-'OECD Europe 2015'!$K14-'OECD Europe 2015'!$G14-'OECD Europe 2015'!$H14)=0,1,('OECD Europe 2015'!$L14-'OECD Europe 2015'!$J14-'OECD Europe 2015'!$K14-'OECD Europe 2015'!$G14-'OECD Europe 2015'!$H14))</f>
        <v>0</v>
      </c>
      <c r="G124" s="40">
        <f>'OECD Europe 2018'!$C14/IF(('OECD Europe 2018'!$L14-'OECD Europe 2018'!$J14-'OECD Europe 2018'!$K14-'OECD Europe 2018'!$G14-'OECD Europe 2018'!$H14)=0,1,('OECD Europe 2018'!$L14-'OECD Europe 2018'!$J14-'OECD Europe 2018'!$K14-'OECD Europe 2018'!$G14-'OECD Europe 2018'!$H14))</f>
        <v>0</v>
      </c>
      <c r="H124" s="77">
        <f t="shared" si="1"/>
        <v>0</v>
      </c>
      <c r="I124" s="77">
        <f t="shared" si="1"/>
        <v>0</v>
      </c>
    </row>
    <row r="125" spans="1:11" x14ac:dyDescent="0.35">
      <c r="A125" s="30" t="s">
        <v>143</v>
      </c>
      <c r="B125" s="40">
        <f>'OECD Europe 1995'!$D14/IF(('OECD Europe 1995'!$L14-'OECD Europe 1995'!$J14-'OECD Europe 1995'!$K14-'OECD Europe 1995'!$G14-'OECD Europe 1995'!$H14)=0,1,('OECD Europe 1995'!$L14-'OECD Europe 1995'!$J14-'OECD Europe 1995'!$K14-'OECD Europe 1995'!$G14-'OECD Europe 1995'!$H14))</f>
        <v>0.18965707354724887</v>
      </c>
      <c r="C125" s="40">
        <f>'OECD Europe 2000'!$D14/IF(('OECD Europe 2000'!$L14-'OECD Europe 2000'!$J14-'OECD Europe 2000'!$K14-'OECD Europe 2000'!$G14-'OECD Europe 2000'!$H14)=0,1,('OECD Europe 2000'!$L14-'OECD Europe 2000'!$J14-'OECD Europe 2000'!$K14-'OECD Europe 2000'!$G14-'OECD Europe 2000'!$H14))</f>
        <v>0.16245245021257551</v>
      </c>
      <c r="D125" s="40">
        <f>'OECD Europe 2005'!$D14/IF(('OECD Europe 2005'!$L14-'OECD Europe 2005'!$J14-'OECD Europe 2005'!$K14-'OECD Europe 2005'!$G14-'OECD Europe 2005'!$H14)=0,1,('OECD Europe 2005'!$L14-'OECD Europe 2005'!$J14-'OECD Europe 2005'!$K14-'OECD Europe 2005'!$G14-'OECD Europe 2005'!$H14))</f>
        <v>0.10714285714285714</v>
      </c>
      <c r="E125" s="40">
        <f>'OECD Europe 2010'!$D14/IF(('OECD Europe 2010'!$L14-'OECD Europe 2010'!$J14-'OECD Europe 2010'!$K14-'OECD Europe 2010'!$G14-'OECD Europe 2010'!$H14)=0,1,('OECD Europe 2010'!$L14-'OECD Europe 2010'!$J14-'OECD Europe 2010'!$K14-'OECD Europe 2010'!$G14-'OECD Europe 2010'!$H14))</f>
        <v>7.6203576341127927E-2</v>
      </c>
      <c r="F125" s="40">
        <f>'OECD Europe 2015'!$D14/IF(('OECD Europe 2015'!$L14-'OECD Europe 2015'!$J14-'OECD Europe 2015'!$K14-'OECD Europe 2015'!$G14-'OECD Europe 2015'!$H14)=0,1,('OECD Europe 2015'!$L14-'OECD Europe 2015'!$J14-'OECD Europe 2015'!$K14-'OECD Europe 2015'!$G14-'OECD Europe 2015'!$H14))</f>
        <v>4.6623458080702486E-2</v>
      </c>
      <c r="G125" s="40">
        <f>'OECD Europe 2018'!$D14/IF(('OECD Europe 2018'!$L14-'OECD Europe 2018'!$J14-'OECD Europe 2018'!$K14-'OECD Europe 2018'!$G14-'OECD Europe 2018'!$H14)=0,1,('OECD Europe 2018'!$L14-'OECD Europe 2018'!$J14-'OECD Europe 2018'!$K14-'OECD Europe 2018'!$G14-'OECD Europe 2018'!$H14))</f>
        <v>3.4283614217462066E-2</v>
      </c>
      <c r="H125" s="77">
        <f t="shared" si="1"/>
        <v>3.4283614217462066E-2</v>
      </c>
      <c r="I125" s="77">
        <f t="shared" si="1"/>
        <v>3.4283614217462066E-2</v>
      </c>
    </row>
    <row r="126" spans="1:11" x14ac:dyDescent="0.35">
      <c r="A126" s="30" t="s">
        <v>241</v>
      </c>
      <c r="B126" s="40">
        <f>'OECD Europe 1995'!$E14/IF(('OECD Europe 1995'!$L14-'OECD Europe 1995'!$J14-'OECD Europe 1995'!$K14-'OECD Europe 1995'!$G14-'OECD Europe 1995'!$H14)=0,1,('OECD Europe 1995'!$L14-'OECD Europe 1995'!$J14-'OECD Europe 1995'!$K14-'OECD Europe 1995'!$G14-'OECD Europe 1995'!$H14))</f>
        <v>0.30356158341603262</v>
      </c>
      <c r="C126" s="40">
        <f>'OECD Europe 2000'!$E14/IF(('OECD Europe 2000'!$L14-'OECD Europe 2000'!$J14-'OECD Europe 2000'!$K14-'OECD Europe 2000'!$G14-'OECD Europe 2000'!$H14)=0,1,('OECD Europe 2000'!$L14-'OECD Europe 2000'!$J14-'OECD Europe 2000'!$K14-'OECD Europe 2000'!$G14-'OECD Europe 2000'!$H14))</f>
        <v>0.39567017229805324</v>
      </c>
      <c r="D126" s="40">
        <f>'OECD Europe 2005'!$E14/IF(('OECD Europe 2005'!$L14-'OECD Europe 2005'!$J14-'OECD Europe 2005'!$K14-'OECD Europe 2005'!$G14-'OECD Europe 2005'!$H14)=0,1,('OECD Europe 2005'!$L14-'OECD Europe 2005'!$J14-'OECD Europe 2005'!$K14-'OECD Europe 2005'!$G14-'OECD Europe 2005'!$H14))</f>
        <v>0.4513788098693759</v>
      </c>
      <c r="E126" s="40">
        <f>'OECD Europe 2010'!$E14/IF(('OECD Europe 2010'!$L14-'OECD Europe 2010'!$J14-'OECD Europe 2010'!$K14-'OECD Europe 2010'!$G14-'OECD Europe 2010'!$H14)=0,1,('OECD Europe 2010'!$L14-'OECD Europe 2010'!$J14-'OECD Europe 2010'!$K14-'OECD Europe 2010'!$G14-'OECD Europe 2010'!$H14))</f>
        <v>0.41118752865657954</v>
      </c>
      <c r="F126" s="40">
        <f>'OECD Europe 2015'!$E14/IF(('OECD Europe 2015'!$L14-'OECD Europe 2015'!$J14-'OECD Europe 2015'!$K14-'OECD Europe 2015'!$G14-'OECD Europe 2015'!$H14)=0,1,('OECD Europe 2015'!$L14-'OECD Europe 2015'!$J14-'OECD Europe 2015'!$K14-'OECD Europe 2015'!$G14-'OECD Europe 2015'!$H14))</f>
        <v>0.42504704160568679</v>
      </c>
      <c r="G126" s="40">
        <f>'OECD Europe 2018'!$E14/IF(('OECD Europe 2018'!$L14-'OECD Europe 2018'!$J14-'OECD Europe 2018'!$K14-'OECD Europe 2018'!$G14-'OECD Europe 2018'!$H14)=0,1,('OECD Europe 2018'!$L14-'OECD Europe 2018'!$J14-'OECD Europe 2018'!$K14-'OECD Europe 2018'!$G14-'OECD Europe 2018'!$H14))</f>
        <v>0.42347876305979942</v>
      </c>
      <c r="H126" s="89">
        <f>1-H123-H124-H125-H127-H128</f>
        <v>0.42347876305979948</v>
      </c>
      <c r="I126" s="89">
        <f>1-I123-I124-I125-I127-I128</f>
        <v>0.42347876305979948</v>
      </c>
    </row>
    <row r="127" spans="1:11" x14ac:dyDescent="0.35">
      <c r="A127" s="30" t="s">
        <v>180</v>
      </c>
      <c r="B127" s="40">
        <f>'OECD Europe 1995'!$F14/IF(('OECD Europe 1995'!$L14-'OECD Europe 1995'!$J14-'OECD Europe 1995'!$K14-'OECD Europe 1995'!$G14-'OECD Europe 1995'!$H14)=0,1,('OECD Europe 1995'!$L14-'OECD Europe 1995'!$J14-'OECD Europe 1995'!$K14-'OECD Europe 1995'!$G14-'OECD Europe 1995'!$H14))</f>
        <v>0</v>
      </c>
      <c r="C127" s="40">
        <f>'OECD Europe 2000'!$F14/IF(('OECD Europe 2000'!$L14-'OECD Europe 2000'!$J14-'OECD Europe 2000'!$K14-'OECD Europe 2000'!$G14-'OECD Europe 2000'!$H14)=0,1,('OECD Europe 2000'!$L14-'OECD Europe 2000'!$J14-'OECD Europe 2000'!$K14-'OECD Europe 2000'!$G14-'OECD Europe 2000'!$H14))</f>
        <v>0</v>
      </c>
      <c r="D127" s="40">
        <f>'OECD Europe 2005'!$F14/IF(('OECD Europe 2005'!$L14-'OECD Europe 2005'!$J14-'OECD Europe 2005'!$K14-'OECD Europe 2005'!$G14-'OECD Europe 2005'!$H14)=0,1,('OECD Europe 2005'!$L14-'OECD Europe 2005'!$J14-'OECD Europe 2005'!$K14-'OECD Europe 2005'!$G14-'OECD Europe 2005'!$H14))</f>
        <v>0</v>
      </c>
      <c r="E127" s="40">
        <f>'OECD Europe 2010'!$F14/IF(('OECD Europe 2010'!$L14-'OECD Europe 2010'!$J14-'OECD Europe 2010'!$K14-'OECD Europe 2010'!$G14-'OECD Europe 2010'!$H14)=0,1,('OECD Europe 2010'!$L14-'OECD Europe 2010'!$J14-'OECD Europe 2010'!$K14-'OECD Europe 2010'!$G14-'OECD Europe 2010'!$H14))</f>
        <v>0</v>
      </c>
      <c r="F127" s="40">
        <f>'OECD Europe 2015'!$F14/IF(('OECD Europe 2015'!$L14-'OECD Europe 2015'!$J14-'OECD Europe 2015'!$K14-'OECD Europe 2015'!$G14-'OECD Europe 2015'!$H14)=0,1,('OECD Europe 2015'!$L14-'OECD Europe 2015'!$J14-'OECD Europe 2015'!$K14-'OECD Europe 2015'!$G14-'OECD Europe 2015'!$H14))</f>
        <v>0</v>
      </c>
      <c r="G127" s="40">
        <f>'OECD Europe 2018'!$F14/IF(('OECD Europe 2018'!$L14-'OECD Europe 2018'!$J14-'OECD Europe 2018'!$K14-'OECD Europe 2018'!$G14-'OECD Europe 2018'!$H14)=0,1,('OECD Europe 2018'!$L14-'OECD Europe 2018'!$J14-'OECD Europe 2018'!$K14-'OECD Europe 2018'!$G14-'OECD Europe 2018'!$H14))</f>
        <v>0</v>
      </c>
      <c r="H127" s="77">
        <f t="shared" si="1"/>
        <v>0</v>
      </c>
      <c r="I127" s="77">
        <f t="shared" si="1"/>
        <v>0</v>
      </c>
      <c r="K127" s="7"/>
    </row>
    <row r="128" spans="1:11" x14ac:dyDescent="0.35">
      <c r="A128" s="30" t="s">
        <v>146</v>
      </c>
      <c r="B128" s="40">
        <f>'OECD Europe 1995'!$I14/IF(('OECD Europe 1995'!$L14-'OECD Europe 1995'!$J14-'OECD Europe 1995'!$K14-'OECD Europe 1995'!$G14-'OECD Europe 1995'!$H14)=0,1,('OECD Europe 1995'!$L14-'OECD Europe 1995'!$J14-'OECD Europe 1995'!$K14-'OECD Europe 1995'!$G14-'OECD Europe 1995'!$H14))</f>
        <v>0.12415922372918733</v>
      </c>
      <c r="C128" s="40">
        <f>'OECD Europe 2000'!$I14/IF(('OECD Europe 2000'!$L14-'OECD Europe 2000'!$J14-'OECD Europe 2000'!$K14-'OECD Europe 2000'!$G14-'OECD Europe 2000'!$H14)=0,1,('OECD Europe 2000'!$L14-'OECD Europe 2000'!$J14-'OECD Europe 2000'!$K14-'OECD Europe 2000'!$G14-'OECD Europe 2000'!$H14))</f>
        <v>0.1557395390467666</v>
      </c>
      <c r="D128" s="40">
        <f>'OECD Europe 2005'!$I14/IF(('OECD Europe 2005'!$L14-'OECD Europe 2005'!$J14-'OECD Europe 2005'!$K14-'OECD Europe 2005'!$G14-'OECD Europe 2005'!$H14)=0,1,('OECD Europe 2005'!$L14-'OECD Europe 2005'!$J14-'OECD Europe 2005'!$K14-'OECD Europe 2005'!$G14-'OECD Europe 2005'!$H14))</f>
        <v>0.20713249015135807</v>
      </c>
      <c r="E128" s="40">
        <f>'OECD Europe 2010'!$I14/IF(('OECD Europe 2010'!$L14-'OECD Europe 2010'!$J14-'OECD Europe 2010'!$K14-'OECD Europe 2010'!$G14-'OECD Europe 2010'!$H14)=0,1,('OECD Europe 2010'!$L14-'OECD Europe 2010'!$J14-'OECD Europe 2010'!$K14-'OECD Europe 2010'!$G14-'OECD Europe 2010'!$H14))</f>
        <v>0.2635946813388354</v>
      </c>
      <c r="F128" s="40">
        <f>'OECD Europe 2015'!$I14/IF(('OECD Europe 2015'!$L14-'OECD Europe 2015'!$J14-'OECD Europe 2015'!$K14-'OECD Europe 2015'!$G14-'OECD Europe 2015'!$H14)=0,1,('OECD Europe 2015'!$L14-'OECD Europe 2015'!$J14-'OECD Europe 2015'!$K14-'OECD Europe 2015'!$G14-'OECD Europe 2015'!$H14))</f>
        <v>0.33922224545264479</v>
      </c>
      <c r="G128" s="40">
        <f>'OECD Europe 2018'!$I14/IF(('OECD Europe 2018'!$L14-'OECD Europe 2018'!$J14-'OECD Europe 2018'!$K14-'OECD Europe 2018'!$G14-'OECD Europe 2018'!$H14)=0,1,('OECD Europe 2018'!$L14-'OECD Europe 2018'!$J14-'OECD Europe 2018'!$K14-'OECD Europe 2018'!$G14-'OECD Europe 2018'!$H14))</f>
        <v>0.36005670184280991</v>
      </c>
      <c r="H128" s="77">
        <f t="shared" si="1"/>
        <v>0.36005670184280991</v>
      </c>
      <c r="I128" s="77">
        <f t="shared" si="1"/>
        <v>0.36005670184280991</v>
      </c>
    </row>
    <row r="129" spans="1:9" x14ac:dyDescent="0.35">
      <c r="A129" s="32" t="s">
        <v>183</v>
      </c>
      <c r="B129" s="82"/>
      <c r="C129" s="82"/>
      <c r="D129" s="82"/>
      <c r="E129" s="82"/>
      <c r="F129" s="82"/>
      <c r="G129" s="82"/>
      <c r="H129" s="42"/>
      <c r="I129" s="42"/>
    </row>
    <row r="130" spans="1:9" x14ac:dyDescent="0.35">
      <c r="A130" s="30" t="s">
        <v>142</v>
      </c>
      <c r="B130" s="40">
        <v>1</v>
      </c>
      <c r="C130" s="40">
        <v>1</v>
      </c>
      <c r="D130" s="40">
        <v>1</v>
      </c>
      <c r="E130" s="40">
        <v>1</v>
      </c>
      <c r="F130" s="40">
        <v>1</v>
      </c>
      <c r="G130" s="40">
        <v>1</v>
      </c>
      <c r="H130" s="89">
        <f>1-H131</f>
        <v>1</v>
      </c>
      <c r="I130" s="89">
        <f>1-I131</f>
        <v>1</v>
      </c>
    </row>
    <row r="131" spans="1:9" x14ac:dyDescent="0.35">
      <c r="A131" s="30" t="s">
        <v>146</v>
      </c>
      <c r="B131" s="40">
        <v>0</v>
      </c>
      <c r="C131" s="40">
        <v>0</v>
      </c>
      <c r="D131" s="40">
        <v>0</v>
      </c>
      <c r="E131" s="40">
        <v>0</v>
      </c>
      <c r="F131" s="40">
        <v>0</v>
      </c>
      <c r="G131" s="40">
        <v>0</v>
      </c>
      <c r="H131" s="77">
        <f t="shared" si="1"/>
        <v>0</v>
      </c>
      <c r="I131" s="77">
        <f t="shared" si="1"/>
        <v>0</v>
      </c>
    </row>
    <row r="132" spans="1:9" x14ac:dyDescent="0.35">
      <c r="A132" s="30"/>
      <c r="B132" s="40">
        <v>0</v>
      </c>
      <c r="C132" s="40">
        <v>0</v>
      </c>
      <c r="D132" s="40">
        <v>0</v>
      </c>
      <c r="E132" s="40">
        <v>0</v>
      </c>
      <c r="F132" s="40">
        <v>0</v>
      </c>
      <c r="G132" s="40">
        <v>0</v>
      </c>
      <c r="H132" s="77">
        <f t="shared" si="1"/>
        <v>0</v>
      </c>
      <c r="I132" s="77">
        <f t="shared" si="1"/>
        <v>0</v>
      </c>
    </row>
    <row r="133" spans="1:9" x14ac:dyDescent="0.35">
      <c r="A133" s="32" t="s">
        <v>184</v>
      </c>
      <c r="B133" s="42"/>
      <c r="C133" s="42"/>
      <c r="D133" s="42"/>
      <c r="E133" s="42"/>
      <c r="F133" s="42"/>
      <c r="G133" s="42"/>
      <c r="H133" s="42"/>
      <c r="I133" s="42"/>
    </row>
    <row r="134" spans="1:9" x14ac:dyDescent="0.35">
      <c r="A134" s="30" t="s">
        <v>185</v>
      </c>
      <c r="H134" s="77">
        <v>0</v>
      </c>
      <c r="I134" s="77">
        <v>0</v>
      </c>
    </row>
    <row r="135" spans="1:9" x14ac:dyDescent="0.35">
      <c r="A135" s="30" t="s">
        <v>186</v>
      </c>
      <c r="H135" s="77">
        <v>0</v>
      </c>
      <c r="I135" s="77">
        <v>0</v>
      </c>
    </row>
    <row r="136" spans="1:9" x14ac:dyDescent="0.35">
      <c r="A136" s="30" t="s">
        <v>245</v>
      </c>
      <c r="H136" s="77">
        <v>0</v>
      </c>
      <c r="I136" s="77">
        <v>0</v>
      </c>
    </row>
    <row r="137" spans="1:9" x14ac:dyDescent="0.35">
      <c r="A137" s="30" t="s">
        <v>188</v>
      </c>
      <c r="H137" s="77">
        <v>0</v>
      </c>
      <c r="I137" s="77">
        <v>0</v>
      </c>
    </row>
    <row r="138" spans="1:9" x14ac:dyDescent="0.35">
      <c r="A138" s="32" t="s">
        <v>189</v>
      </c>
      <c r="B138" s="42"/>
      <c r="C138" s="42"/>
      <c r="D138" s="42"/>
      <c r="E138" s="42"/>
      <c r="F138" s="42"/>
      <c r="G138" s="42"/>
      <c r="H138" s="42"/>
      <c r="I138" s="42"/>
    </row>
    <row r="139" spans="1:9" x14ac:dyDescent="0.35">
      <c r="A139" s="30" t="s">
        <v>190</v>
      </c>
      <c r="G139" s="94">
        <v>0.8</v>
      </c>
      <c r="H139" s="93">
        <f>G139</f>
        <v>0.8</v>
      </c>
      <c r="I139" s="77">
        <f t="shared" ref="I139:I142" si="5">H139</f>
        <v>0.8</v>
      </c>
    </row>
    <row r="140" spans="1:9" x14ac:dyDescent="0.35">
      <c r="A140" s="30" t="s">
        <v>191</v>
      </c>
      <c r="G140" s="94">
        <v>0.3</v>
      </c>
      <c r="H140" s="93">
        <f t="shared" ref="H140:H142" si="6">G140</f>
        <v>0.3</v>
      </c>
      <c r="I140" s="77">
        <f t="shared" si="5"/>
        <v>0.3</v>
      </c>
    </row>
    <row r="141" spans="1:9" x14ac:dyDescent="0.35">
      <c r="A141" s="30" t="s">
        <v>192</v>
      </c>
      <c r="G141" s="94">
        <v>0.95</v>
      </c>
      <c r="H141" s="93">
        <f t="shared" si="6"/>
        <v>0.95</v>
      </c>
      <c r="I141" s="77">
        <f t="shared" si="5"/>
        <v>0.95</v>
      </c>
    </row>
    <row r="142" spans="1:9" x14ac:dyDescent="0.35">
      <c r="A142" s="30" t="s">
        <v>193</v>
      </c>
      <c r="G142" s="94">
        <v>1</v>
      </c>
      <c r="H142" s="93">
        <f t="shared" si="6"/>
        <v>1</v>
      </c>
      <c r="I142" s="77">
        <f t="shared" si="5"/>
        <v>1</v>
      </c>
    </row>
  </sheetData>
  <mergeCells count="1">
    <mergeCell ref="B3:I3"/>
  </mergeCells>
  <pageMargins left="0.7" right="0.7" top="0.75" bottom="0.75" header="0.3" footer="0.3"/>
  <pageSetup paperSize="9" orientation="portrait" horizontalDpi="4294967293" verticalDpi="4294967293"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 codeName="Ark63"/>
  <dimension ref="A1:L32"/>
  <sheetViews>
    <sheetView workbookViewId="0">
      <selection activeCell="C38" sqref="C38"/>
    </sheetView>
  </sheetViews>
  <sheetFormatPr defaultRowHeight="14.5" x14ac:dyDescent="0.35"/>
  <cols>
    <col min="1" max="1" width="30" customWidth="1"/>
    <col min="2" max="2" width="11.54296875" customWidth="1"/>
    <col min="3" max="3" width="12" customWidth="1"/>
    <col min="4" max="4" width="14.54296875" customWidth="1"/>
    <col min="5" max="5" width="14.1796875" customWidth="1"/>
    <col min="8" max="8" width="22.81640625" customWidth="1"/>
    <col min="9" max="9" width="21.81640625" customWidth="1"/>
    <col min="10" max="10" width="13.81640625" customWidth="1"/>
    <col min="11" max="11" width="12.26953125" customWidth="1"/>
    <col min="12" max="12" width="11.81640625" customWidth="1"/>
  </cols>
  <sheetData>
    <row r="1" spans="1:12" x14ac:dyDescent="0.35">
      <c r="B1" t="s">
        <v>214</v>
      </c>
      <c r="C1" t="s">
        <v>2</v>
      </c>
      <c r="D1" t="s">
        <v>215</v>
      </c>
      <c r="E1" t="s">
        <v>216</v>
      </c>
      <c r="F1" t="s">
        <v>5</v>
      </c>
      <c r="G1" t="s">
        <v>6</v>
      </c>
      <c r="H1" t="s">
        <v>217</v>
      </c>
      <c r="I1" t="s">
        <v>8</v>
      </c>
      <c r="J1" t="s">
        <v>9</v>
      </c>
      <c r="K1" t="s">
        <v>10</v>
      </c>
      <c r="L1" t="s">
        <v>218</v>
      </c>
    </row>
    <row r="2" spans="1:12" x14ac:dyDescent="0.35">
      <c r="B2" t="s">
        <v>219</v>
      </c>
      <c r="C2" t="s">
        <v>219</v>
      </c>
      <c r="D2" t="s">
        <v>219</v>
      </c>
      <c r="E2" t="s">
        <v>219</v>
      </c>
      <c r="F2" t="s">
        <v>219</v>
      </c>
      <c r="G2" t="s">
        <v>219</v>
      </c>
      <c r="H2" t="s">
        <v>219</v>
      </c>
      <c r="I2" t="s">
        <v>219</v>
      </c>
      <c r="J2" t="s">
        <v>219</v>
      </c>
      <c r="K2" t="s">
        <v>219</v>
      </c>
      <c r="L2" t="s">
        <v>219</v>
      </c>
    </row>
    <row r="3" spans="1:12" x14ac:dyDescent="0.35">
      <c r="A3" t="s">
        <v>17</v>
      </c>
      <c r="B3" s="7">
        <v>278436</v>
      </c>
      <c r="C3" s="7">
        <v>315462</v>
      </c>
      <c r="D3" s="7"/>
      <c r="E3" s="7">
        <v>203307</v>
      </c>
      <c r="F3" s="7">
        <v>231604</v>
      </c>
      <c r="G3" s="7">
        <v>43331</v>
      </c>
      <c r="H3" s="7">
        <v>5933</v>
      </c>
      <c r="I3" s="7">
        <v>64117</v>
      </c>
      <c r="J3" s="7"/>
      <c r="K3" s="7">
        <v>399</v>
      </c>
      <c r="L3" s="7">
        <v>1142588</v>
      </c>
    </row>
    <row r="4" spans="1:12" x14ac:dyDescent="0.35">
      <c r="A4" t="s">
        <v>220</v>
      </c>
      <c r="B4" s="7">
        <v>114109</v>
      </c>
      <c r="C4" s="7">
        <v>605010</v>
      </c>
      <c r="D4" s="7">
        <v>214613</v>
      </c>
      <c r="E4" s="7">
        <v>178454</v>
      </c>
      <c r="F4" s="7"/>
      <c r="G4" s="7"/>
      <c r="H4" s="7"/>
      <c r="I4" s="7">
        <v>493</v>
      </c>
      <c r="J4" s="7">
        <v>18254</v>
      </c>
      <c r="K4" s="7">
        <v>3</v>
      </c>
      <c r="L4" s="7">
        <v>1130937</v>
      </c>
    </row>
    <row r="5" spans="1:12" x14ac:dyDescent="0.35">
      <c r="A5" t="s">
        <v>221</v>
      </c>
      <c r="B5" s="7">
        <v>-35702</v>
      </c>
      <c r="C5" s="7">
        <v>-232806</v>
      </c>
      <c r="D5" s="7">
        <v>-191118</v>
      </c>
      <c r="E5" s="7">
        <v>-59403</v>
      </c>
      <c r="F5" s="7"/>
      <c r="G5" s="7"/>
      <c r="H5" s="7"/>
      <c r="I5" s="7">
        <v>-191</v>
      </c>
      <c r="J5" s="7">
        <v>-18016</v>
      </c>
      <c r="K5" s="7">
        <v>-3</v>
      </c>
      <c r="L5" s="7">
        <v>-537239</v>
      </c>
    </row>
    <row r="6" spans="1:12" x14ac:dyDescent="0.35">
      <c r="A6" t="s">
        <v>222</v>
      </c>
      <c r="B6" s="7"/>
      <c r="C6" s="7"/>
      <c r="D6" s="7">
        <v>-35380</v>
      </c>
      <c r="E6" s="7"/>
      <c r="F6" s="7"/>
      <c r="G6" s="7"/>
      <c r="H6" s="7"/>
      <c r="I6" s="7"/>
      <c r="J6" s="7"/>
      <c r="K6" s="7"/>
      <c r="L6" s="7">
        <v>-35380</v>
      </c>
    </row>
    <row r="7" spans="1:12" x14ac:dyDescent="0.35">
      <c r="A7" t="s">
        <v>223</v>
      </c>
      <c r="B7" s="7"/>
      <c r="C7" s="7"/>
      <c r="D7" s="7">
        <v>-30496</v>
      </c>
      <c r="E7" s="7"/>
      <c r="F7" s="7"/>
      <c r="G7" s="7"/>
      <c r="H7" s="7"/>
      <c r="I7" s="7"/>
      <c r="J7" s="7"/>
      <c r="K7" s="7"/>
      <c r="L7" s="7">
        <v>-30496</v>
      </c>
    </row>
    <row r="8" spans="1:12" x14ac:dyDescent="0.35">
      <c r="A8" t="s">
        <v>224</v>
      </c>
      <c r="B8" s="7">
        <v>6744</v>
      </c>
      <c r="C8" s="7">
        <v>-411</v>
      </c>
      <c r="D8" s="7">
        <v>2614</v>
      </c>
      <c r="E8" s="7">
        <v>-998</v>
      </c>
      <c r="F8" s="7"/>
      <c r="G8" s="7"/>
      <c r="H8" s="7"/>
      <c r="I8" s="7">
        <v>-6</v>
      </c>
      <c r="J8" s="7"/>
      <c r="K8" s="7"/>
      <c r="L8" s="7">
        <v>7943</v>
      </c>
    </row>
    <row r="9" spans="1:12" x14ac:dyDescent="0.35">
      <c r="A9" t="s">
        <v>225</v>
      </c>
      <c r="B9" s="7">
        <v>363587</v>
      </c>
      <c r="C9" s="7">
        <v>687255</v>
      </c>
      <c r="D9" s="7">
        <v>-39767</v>
      </c>
      <c r="E9" s="7">
        <v>321361</v>
      </c>
      <c r="F9" s="7">
        <v>231604</v>
      </c>
      <c r="G9" s="7">
        <v>43331</v>
      </c>
      <c r="H9" s="7">
        <v>5933</v>
      </c>
      <c r="I9" s="7">
        <v>64413</v>
      </c>
      <c r="J9" s="7">
        <v>238</v>
      </c>
      <c r="K9" s="7">
        <v>399</v>
      </c>
      <c r="L9" s="7">
        <v>1678353</v>
      </c>
    </row>
    <row r="10" spans="1:12" x14ac:dyDescent="0.35">
      <c r="A10" t="s">
        <v>226</v>
      </c>
      <c r="B10" s="7"/>
      <c r="C10" s="7">
        <v>8652</v>
      </c>
      <c r="D10" s="7">
        <v>-7053</v>
      </c>
      <c r="E10" s="7"/>
      <c r="F10" s="7"/>
      <c r="G10" s="7"/>
      <c r="H10" s="7"/>
      <c r="I10" s="7"/>
      <c r="J10" s="7"/>
      <c r="K10" s="7"/>
      <c r="L10" s="7">
        <v>1599</v>
      </c>
    </row>
    <row r="11" spans="1:12" x14ac:dyDescent="0.35">
      <c r="A11" t="s">
        <v>227</v>
      </c>
      <c r="B11" s="7">
        <v>-1065</v>
      </c>
      <c r="C11" s="7">
        <v>943</v>
      </c>
      <c r="D11" s="7">
        <v>6566</v>
      </c>
      <c r="E11" s="7">
        <v>-5097</v>
      </c>
      <c r="F11" s="7"/>
      <c r="G11" s="7"/>
      <c r="H11" s="7">
        <v>-17</v>
      </c>
      <c r="I11" s="7">
        <v>-70</v>
      </c>
      <c r="J11" s="7">
        <v>-200</v>
      </c>
      <c r="K11" s="7">
        <v>-79</v>
      </c>
      <c r="L11" s="7">
        <v>981</v>
      </c>
    </row>
    <row r="12" spans="1:12" x14ac:dyDescent="0.35">
      <c r="A12" t="s">
        <v>228</v>
      </c>
      <c r="B12" s="7">
        <v>-167359</v>
      </c>
      <c r="C12" s="7">
        <v>-863</v>
      </c>
      <c r="D12" s="7">
        <v>-38028</v>
      </c>
      <c r="E12" s="7">
        <v>-34223</v>
      </c>
      <c r="F12" s="7">
        <v>-224760</v>
      </c>
      <c r="G12" s="7">
        <v>-43331</v>
      </c>
      <c r="H12" s="7">
        <v>-3730</v>
      </c>
      <c r="I12" s="7">
        <v>-4175</v>
      </c>
      <c r="J12" s="7">
        <v>211654</v>
      </c>
      <c r="K12" s="7">
        <v>-50</v>
      </c>
      <c r="L12" s="7">
        <v>-304867</v>
      </c>
    </row>
    <row r="13" spans="1:12" x14ac:dyDescent="0.35">
      <c r="A13" t="s">
        <v>66</v>
      </c>
      <c r="B13" s="7">
        <v>-70201</v>
      </c>
      <c r="C13" s="7">
        <v>-493</v>
      </c>
      <c r="D13" s="7">
        <v>-10227</v>
      </c>
      <c r="E13" s="7">
        <v>-21995</v>
      </c>
      <c r="F13" s="7">
        <v>-6843</v>
      </c>
      <c r="G13" s="7"/>
      <c r="H13" s="7">
        <v>-459</v>
      </c>
      <c r="I13" s="7">
        <v>-6632</v>
      </c>
      <c r="J13" s="7">
        <v>36286</v>
      </c>
      <c r="K13" s="7">
        <v>29096</v>
      </c>
      <c r="L13" s="7">
        <v>-51469</v>
      </c>
    </row>
    <row r="14" spans="1:12" x14ac:dyDescent="0.35">
      <c r="A14" t="s">
        <v>229</v>
      </c>
      <c r="B14" s="7">
        <v>-6937</v>
      </c>
      <c r="C14" s="7">
        <v>-4</v>
      </c>
      <c r="D14" s="7">
        <v>-3440</v>
      </c>
      <c r="E14" s="7">
        <v>-5506</v>
      </c>
      <c r="F14" s="7"/>
      <c r="G14" s="7"/>
      <c r="H14" s="7">
        <v>-371</v>
      </c>
      <c r="I14" s="7">
        <v>-2252</v>
      </c>
      <c r="J14" s="7">
        <v>-541</v>
      </c>
      <c r="K14" s="7">
        <v>15728</v>
      </c>
      <c r="L14" s="7">
        <v>-3322</v>
      </c>
    </row>
    <row r="15" spans="1:12" x14ac:dyDescent="0.35">
      <c r="A15" t="s">
        <v>230</v>
      </c>
      <c r="B15" s="7">
        <v>379</v>
      </c>
      <c r="C15" s="7"/>
      <c r="D15" s="7">
        <v>-315</v>
      </c>
      <c r="E15" s="7">
        <v>-381</v>
      </c>
      <c r="F15" s="7"/>
      <c r="G15" s="7"/>
      <c r="H15" s="7"/>
      <c r="I15" s="7">
        <v>-10</v>
      </c>
      <c r="J15" s="7"/>
      <c r="K15" s="7"/>
      <c r="L15" s="7">
        <v>-326</v>
      </c>
    </row>
    <row r="16" spans="1:12" x14ac:dyDescent="0.35">
      <c r="A16" t="s">
        <v>70</v>
      </c>
      <c r="B16" s="7"/>
      <c r="C16" s="7">
        <v>-707074</v>
      </c>
      <c r="D16" s="7">
        <v>701542</v>
      </c>
      <c r="E16" s="7"/>
      <c r="F16" s="7"/>
      <c r="G16" s="7"/>
      <c r="H16" s="7"/>
      <c r="I16" s="7"/>
      <c r="J16" s="7"/>
      <c r="K16" s="7"/>
      <c r="L16" s="7">
        <v>-5532</v>
      </c>
    </row>
    <row r="17" spans="1:12" x14ac:dyDescent="0.35">
      <c r="A17" t="s">
        <v>231</v>
      </c>
      <c r="B17" s="7">
        <v>-26060</v>
      </c>
      <c r="C17" s="7">
        <v>66</v>
      </c>
      <c r="D17" s="7">
        <v>-2822</v>
      </c>
      <c r="E17" s="7">
        <v>-47</v>
      </c>
      <c r="F17" s="7"/>
      <c r="G17" s="7"/>
      <c r="H17" s="7"/>
      <c r="I17" s="7"/>
      <c r="J17" s="7"/>
      <c r="K17" s="7"/>
      <c r="L17" s="7">
        <v>-28863</v>
      </c>
    </row>
    <row r="18" spans="1:12" x14ac:dyDescent="0.35">
      <c r="A18" t="s">
        <v>232</v>
      </c>
      <c r="B18" s="7">
        <v>-453</v>
      </c>
      <c r="C18" s="7">
        <v>293</v>
      </c>
      <c r="D18" s="7"/>
      <c r="E18" s="7"/>
      <c r="F18" s="7"/>
      <c r="G18" s="7"/>
      <c r="H18" s="7"/>
      <c r="I18" s="7"/>
      <c r="J18" s="7"/>
      <c r="K18" s="7"/>
      <c r="L18" s="7">
        <v>-160</v>
      </c>
    </row>
    <row r="19" spans="1:12" x14ac:dyDescent="0.35">
      <c r="A19" t="s">
        <v>233</v>
      </c>
      <c r="B19" s="7"/>
      <c r="C19" s="7">
        <v>14057</v>
      </c>
      <c r="D19" s="7">
        <v>-14166</v>
      </c>
      <c r="E19" s="7">
        <v>-84</v>
      </c>
      <c r="F19" s="7"/>
      <c r="G19" s="7"/>
      <c r="H19" s="7"/>
      <c r="I19" s="7">
        <v>-63</v>
      </c>
      <c r="J19" s="7"/>
      <c r="K19" s="7">
        <v>-90</v>
      </c>
      <c r="L19" s="7">
        <v>-346</v>
      </c>
    </row>
    <row r="20" spans="1:12" x14ac:dyDescent="0.35">
      <c r="A20" t="s">
        <v>234</v>
      </c>
      <c r="B20" s="7">
        <v>-9770</v>
      </c>
      <c r="C20" s="7">
        <v>-831</v>
      </c>
      <c r="D20" s="7">
        <v>-40138</v>
      </c>
      <c r="E20" s="7">
        <v>-12786</v>
      </c>
      <c r="F20" s="7"/>
      <c r="G20" s="7"/>
      <c r="H20" s="7"/>
      <c r="I20" s="7">
        <v>-53</v>
      </c>
      <c r="J20" s="7">
        <v>-22688</v>
      </c>
      <c r="K20" s="7">
        <v>-2343</v>
      </c>
      <c r="L20" s="7">
        <v>-88610</v>
      </c>
    </row>
    <row r="21" spans="1:12" x14ac:dyDescent="0.35">
      <c r="A21" t="s">
        <v>235</v>
      </c>
      <c r="B21" s="7">
        <v>-974</v>
      </c>
      <c r="C21" s="7"/>
      <c r="D21" s="7">
        <v>-260</v>
      </c>
      <c r="E21" s="7">
        <v>-2913</v>
      </c>
      <c r="F21" s="7"/>
      <c r="G21" s="7"/>
      <c r="H21" s="7">
        <v>-6</v>
      </c>
      <c r="I21" s="7"/>
      <c r="J21" s="7">
        <v>-18387</v>
      </c>
      <c r="K21" s="7">
        <v>-3288</v>
      </c>
      <c r="L21" s="7">
        <v>-25830</v>
      </c>
    </row>
    <row r="22" spans="1:12" x14ac:dyDescent="0.35">
      <c r="A22" t="s">
        <v>131</v>
      </c>
      <c r="B22" s="7">
        <v>81147</v>
      </c>
      <c r="C22" s="7">
        <v>2002</v>
      </c>
      <c r="D22" s="7">
        <v>551891</v>
      </c>
      <c r="E22" s="7">
        <v>238329</v>
      </c>
      <c r="F22" s="7"/>
      <c r="G22" s="7"/>
      <c r="H22" s="7">
        <v>1350</v>
      </c>
      <c r="I22" s="7">
        <v>51157</v>
      </c>
      <c r="J22" s="7">
        <v>206361</v>
      </c>
      <c r="K22" s="7">
        <v>39372</v>
      </c>
      <c r="L22" s="7">
        <v>1171609</v>
      </c>
    </row>
    <row r="23" spans="1:12" x14ac:dyDescent="0.35">
      <c r="A23" t="s">
        <v>80</v>
      </c>
      <c r="B23" s="7">
        <v>51859</v>
      </c>
      <c r="C23" s="7">
        <v>14</v>
      </c>
      <c r="D23" s="7">
        <v>57182</v>
      </c>
      <c r="E23" s="7">
        <v>84119</v>
      </c>
      <c r="F23" s="7"/>
      <c r="G23" s="7"/>
      <c r="H23" s="7">
        <v>48</v>
      </c>
      <c r="I23" s="7">
        <v>16365</v>
      </c>
      <c r="J23" s="7">
        <v>88067</v>
      </c>
      <c r="K23" s="7">
        <v>9561</v>
      </c>
      <c r="L23" s="7">
        <v>307215</v>
      </c>
    </row>
    <row r="24" spans="1:12" x14ac:dyDescent="0.35">
      <c r="A24" t="s">
        <v>82</v>
      </c>
      <c r="B24" s="7">
        <v>14</v>
      </c>
      <c r="C24" s="7"/>
      <c r="D24" s="7">
        <v>282735</v>
      </c>
      <c r="E24" s="7">
        <v>427</v>
      </c>
      <c r="F24" s="7"/>
      <c r="G24" s="7"/>
      <c r="H24" s="7"/>
      <c r="I24" s="7">
        <v>217</v>
      </c>
      <c r="J24" s="7">
        <v>5791</v>
      </c>
      <c r="K24" s="7"/>
      <c r="L24" s="7">
        <v>289184</v>
      </c>
    </row>
    <row r="25" spans="1:12" x14ac:dyDescent="0.35">
      <c r="A25" t="s">
        <v>86</v>
      </c>
      <c r="B25" s="7">
        <v>21063</v>
      </c>
      <c r="C25" s="7"/>
      <c r="D25" s="7">
        <v>67641</v>
      </c>
      <c r="E25" s="7">
        <v>94925</v>
      </c>
      <c r="F25" s="7"/>
      <c r="G25" s="7"/>
      <c r="H25" s="7">
        <v>899</v>
      </c>
      <c r="I25" s="7">
        <v>32140</v>
      </c>
      <c r="J25" s="7">
        <v>59980</v>
      </c>
      <c r="K25" s="7">
        <v>23157</v>
      </c>
      <c r="L25" s="7">
        <v>299804</v>
      </c>
    </row>
    <row r="26" spans="1:12" x14ac:dyDescent="0.35">
      <c r="A26" t="s">
        <v>88</v>
      </c>
      <c r="B26" s="7">
        <v>4581</v>
      </c>
      <c r="C26" s="7"/>
      <c r="D26" s="7">
        <v>26028</v>
      </c>
      <c r="E26" s="7">
        <v>35194</v>
      </c>
      <c r="F26" s="7"/>
      <c r="G26" s="7"/>
      <c r="H26" s="7">
        <v>149</v>
      </c>
      <c r="I26" s="7">
        <v>1073</v>
      </c>
      <c r="J26" s="7">
        <v>47818</v>
      </c>
      <c r="K26" s="7">
        <v>5020</v>
      </c>
      <c r="L26" s="7">
        <v>119863</v>
      </c>
    </row>
    <row r="27" spans="1:12" x14ac:dyDescent="0.35">
      <c r="A27" t="s">
        <v>90</v>
      </c>
      <c r="B27" s="7">
        <v>1941</v>
      </c>
      <c r="C27" s="7"/>
      <c r="D27" s="7">
        <v>21415</v>
      </c>
      <c r="E27" s="7">
        <v>4347</v>
      </c>
      <c r="F27" s="7"/>
      <c r="G27" s="7"/>
      <c r="H27" s="7">
        <v>19</v>
      </c>
      <c r="I27" s="7">
        <v>1281</v>
      </c>
      <c r="J27" s="7">
        <v>3573</v>
      </c>
      <c r="K27" s="7">
        <v>351</v>
      </c>
      <c r="L27" s="7">
        <v>32926</v>
      </c>
    </row>
    <row r="28" spans="1:12" x14ac:dyDescent="0.35">
      <c r="A28" t="s">
        <v>92</v>
      </c>
      <c r="B28" s="7"/>
      <c r="C28" s="7"/>
      <c r="D28" s="7">
        <v>1627</v>
      </c>
      <c r="E28" s="7"/>
      <c r="F28" s="7"/>
      <c r="G28" s="7"/>
      <c r="H28" s="7">
        <v>11</v>
      </c>
      <c r="I28" s="7"/>
      <c r="J28" s="7">
        <v>2</v>
      </c>
      <c r="K28" s="7">
        <v>3</v>
      </c>
      <c r="L28" s="7">
        <v>1644</v>
      </c>
    </row>
    <row r="29" spans="1:12" x14ac:dyDescent="0.35">
      <c r="A29" t="s">
        <v>94</v>
      </c>
      <c r="B29" s="7">
        <v>547</v>
      </c>
      <c r="C29" s="7"/>
      <c r="D29" s="7">
        <v>2292</v>
      </c>
      <c r="E29" s="7">
        <v>5613</v>
      </c>
      <c r="F29" s="7"/>
      <c r="G29" s="7"/>
      <c r="H29" s="7">
        <v>224</v>
      </c>
      <c r="I29" s="7">
        <v>80</v>
      </c>
      <c r="J29" s="7">
        <v>1130</v>
      </c>
      <c r="K29" s="7">
        <v>1281</v>
      </c>
      <c r="L29" s="7">
        <v>11168</v>
      </c>
    </row>
    <row r="30" spans="1:12" x14ac:dyDescent="0.35">
      <c r="A30" t="s">
        <v>236</v>
      </c>
      <c r="B30" s="7">
        <v>1142</v>
      </c>
      <c r="C30" s="7">
        <v>1988</v>
      </c>
      <c r="D30" s="7">
        <v>92972</v>
      </c>
      <c r="E30" s="7">
        <v>13704</v>
      </c>
      <c r="F30" s="7"/>
      <c r="G30" s="7"/>
      <c r="H30" s="7"/>
      <c r="I30" s="7"/>
      <c r="J30" s="7"/>
      <c r="K30" s="7"/>
      <c r="L30" s="7">
        <v>109806</v>
      </c>
    </row>
    <row r="32" spans="1:12" x14ac:dyDescent="0.35">
      <c r="B32" s="7">
        <f>SUM(B9,B10:B21,B22*-1)</f>
        <v>0</v>
      </c>
      <c r="C32" s="7">
        <f t="shared" ref="C32:L32" si="0">SUM(C9,C10:C21,C22*-1)</f>
        <v>-1</v>
      </c>
      <c r="D32" s="7">
        <f t="shared" si="0"/>
        <v>1</v>
      </c>
      <c r="E32" s="7">
        <f t="shared" si="0"/>
        <v>0</v>
      </c>
      <c r="F32" s="7">
        <f t="shared" si="0"/>
        <v>1</v>
      </c>
      <c r="G32" s="7">
        <f t="shared" si="0"/>
        <v>0</v>
      </c>
      <c r="H32" s="7">
        <f t="shared" si="0"/>
        <v>0</v>
      </c>
      <c r="I32" s="7">
        <f t="shared" si="0"/>
        <v>1</v>
      </c>
      <c r="J32" s="7">
        <f t="shared" si="0"/>
        <v>1</v>
      </c>
      <c r="K32" s="7">
        <f t="shared" si="0"/>
        <v>1</v>
      </c>
      <c r="L32" s="7">
        <f t="shared" si="0"/>
        <v>-1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L32"/>
  <sheetViews>
    <sheetView zoomScale="66" zoomScaleNormal="66" workbookViewId="0">
      <selection activeCell="D52" sqref="D52"/>
    </sheetView>
  </sheetViews>
  <sheetFormatPr defaultRowHeight="14.5" x14ac:dyDescent="0.35"/>
  <cols>
    <col min="1" max="1" width="36.54296875" customWidth="1"/>
    <col min="2" max="2" width="14.26953125" customWidth="1"/>
    <col min="3" max="3" width="14.1796875" customWidth="1"/>
    <col min="4" max="4" width="15" customWidth="1"/>
    <col min="5" max="5" width="13.453125" customWidth="1"/>
    <col min="6" max="6" width="13.7265625" customWidth="1"/>
    <col min="7" max="7" width="14.26953125" customWidth="1"/>
    <col min="8" max="8" width="26.26953125" customWidth="1"/>
    <col min="9" max="9" width="20.453125" customWidth="1"/>
    <col min="10" max="10" width="10.7265625" customWidth="1"/>
    <col min="11" max="11" width="12.81640625" customWidth="1"/>
    <col min="12" max="12" width="17.54296875" customWidth="1"/>
  </cols>
  <sheetData>
    <row r="1" spans="1:12" ht="30.75" customHeight="1" x14ac:dyDescent="0.35">
      <c r="B1" t="s">
        <v>214</v>
      </c>
      <c r="C1" t="s">
        <v>2</v>
      </c>
      <c r="D1" t="s">
        <v>215</v>
      </c>
      <c r="E1" t="s">
        <v>216</v>
      </c>
      <c r="F1" t="s">
        <v>5</v>
      </c>
      <c r="G1" t="s">
        <v>6</v>
      </c>
      <c r="H1" t="s">
        <v>217</v>
      </c>
      <c r="I1" t="s">
        <v>8</v>
      </c>
      <c r="J1" t="s">
        <v>9</v>
      </c>
      <c r="K1" t="s">
        <v>10</v>
      </c>
      <c r="L1" t="s">
        <v>218</v>
      </c>
    </row>
    <row r="2" spans="1:12" x14ac:dyDescent="0.35">
      <c r="B2" t="s">
        <v>219</v>
      </c>
      <c r="C2" t="s">
        <v>219</v>
      </c>
      <c r="D2" t="s">
        <v>219</v>
      </c>
      <c r="E2" t="s">
        <v>219</v>
      </c>
      <c r="F2" t="s">
        <v>219</v>
      </c>
      <c r="G2" t="s">
        <v>219</v>
      </c>
      <c r="H2" t="s">
        <v>219</v>
      </c>
      <c r="I2" t="s">
        <v>219</v>
      </c>
      <c r="J2" t="s">
        <v>219</v>
      </c>
      <c r="K2" t="s">
        <v>219</v>
      </c>
      <c r="L2" t="s">
        <v>219</v>
      </c>
    </row>
    <row r="3" spans="1:12" x14ac:dyDescent="0.35">
      <c r="A3" t="s">
        <v>17</v>
      </c>
      <c r="B3" s="7">
        <v>2219358</v>
      </c>
      <c r="C3" s="7">
        <v>3397556</v>
      </c>
      <c r="D3" s="7"/>
      <c r="E3" s="7">
        <v>1810882</v>
      </c>
      <c r="F3" s="7">
        <v>608098</v>
      </c>
      <c r="G3" s="7">
        <v>212766</v>
      </c>
      <c r="H3" s="7">
        <v>42391</v>
      </c>
      <c r="I3" s="7">
        <v>966345</v>
      </c>
      <c r="J3" s="7"/>
      <c r="K3" s="7">
        <v>399</v>
      </c>
      <c r="L3" s="7">
        <v>9257796</v>
      </c>
    </row>
    <row r="4" spans="1:12" x14ac:dyDescent="0.35">
      <c r="A4" t="s">
        <v>220</v>
      </c>
      <c r="B4" s="7">
        <v>332508</v>
      </c>
      <c r="C4" s="7">
        <v>1766044</v>
      </c>
      <c r="D4" s="7">
        <v>609168</v>
      </c>
      <c r="E4" s="7">
        <v>406863</v>
      </c>
      <c r="F4" s="7"/>
      <c r="G4" s="7"/>
      <c r="H4" s="7"/>
      <c r="I4" s="7">
        <v>1973</v>
      </c>
      <c r="J4" s="7">
        <v>34551</v>
      </c>
      <c r="K4" s="7">
        <v>3</v>
      </c>
      <c r="L4" s="7">
        <v>3151109</v>
      </c>
    </row>
    <row r="5" spans="1:12" x14ac:dyDescent="0.35">
      <c r="A5" t="s">
        <v>221</v>
      </c>
      <c r="B5" s="7">
        <v>-338991</v>
      </c>
      <c r="C5" s="7">
        <v>-1732686</v>
      </c>
      <c r="D5" s="7">
        <v>-679115</v>
      </c>
      <c r="E5" s="7">
        <v>-407857</v>
      </c>
      <c r="F5" s="7"/>
      <c r="G5" s="7"/>
      <c r="H5" s="7"/>
      <c r="I5" s="7">
        <v>-882</v>
      </c>
      <c r="J5" s="7">
        <v>-34713</v>
      </c>
      <c r="K5" s="7">
        <v>-3</v>
      </c>
      <c r="L5" s="7">
        <v>-3194248</v>
      </c>
    </row>
    <row r="6" spans="1:12" x14ac:dyDescent="0.35">
      <c r="A6" t="s">
        <v>222</v>
      </c>
      <c r="B6" s="7"/>
      <c r="C6" s="7"/>
      <c r="D6" s="7"/>
      <c r="E6" s="7"/>
      <c r="F6" s="7"/>
      <c r="G6" s="7"/>
      <c r="H6" s="7"/>
      <c r="I6" s="7"/>
      <c r="J6" s="7"/>
      <c r="K6" s="7"/>
      <c r="L6" s="7"/>
    </row>
    <row r="7" spans="1:12" x14ac:dyDescent="0.35">
      <c r="A7" t="s">
        <v>223</v>
      </c>
      <c r="B7" s="7"/>
      <c r="C7" s="7"/>
      <c r="D7" s="7"/>
      <c r="E7" s="7"/>
      <c r="F7" s="7"/>
      <c r="G7" s="7"/>
      <c r="H7" s="7"/>
      <c r="I7" s="7"/>
      <c r="J7" s="7"/>
      <c r="K7" s="7"/>
      <c r="L7" s="7"/>
    </row>
    <row r="8" spans="1:12" x14ac:dyDescent="0.35">
      <c r="A8" t="s">
        <v>224</v>
      </c>
      <c r="B8" s="7">
        <v>-5205</v>
      </c>
      <c r="C8" s="7">
        <v>2290</v>
      </c>
      <c r="D8" s="7">
        <v>10041</v>
      </c>
      <c r="E8" s="7">
        <v>-3263</v>
      </c>
      <c r="F8" s="7"/>
      <c r="G8" s="7"/>
      <c r="H8" s="7"/>
      <c r="I8" s="7">
        <v>32</v>
      </c>
      <c r="J8" s="7"/>
      <c r="K8" s="7"/>
      <c r="L8" s="7">
        <v>3894</v>
      </c>
    </row>
    <row r="9" spans="1:12" x14ac:dyDescent="0.35">
      <c r="A9" t="s">
        <v>225</v>
      </c>
      <c r="B9" s="7">
        <v>2207669</v>
      </c>
      <c r="C9" s="7">
        <v>3433204</v>
      </c>
      <c r="D9" s="7">
        <v>-59907</v>
      </c>
      <c r="E9" s="7">
        <v>1806624</v>
      </c>
      <c r="F9" s="7">
        <v>608098</v>
      </c>
      <c r="G9" s="7">
        <v>212766</v>
      </c>
      <c r="H9" s="7">
        <v>42391</v>
      </c>
      <c r="I9" s="7">
        <v>967469</v>
      </c>
      <c r="J9" s="7">
        <v>-162</v>
      </c>
      <c r="K9" s="7">
        <v>399</v>
      </c>
      <c r="L9" s="7">
        <v>9218551</v>
      </c>
    </row>
    <row r="10" spans="1:12" x14ac:dyDescent="0.35">
      <c r="A10" t="s">
        <v>226</v>
      </c>
      <c r="B10" s="7"/>
      <c r="C10" s="7">
        <v>-123289</v>
      </c>
      <c r="D10" s="7">
        <v>135813</v>
      </c>
      <c r="E10" s="7"/>
      <c r="F10" s="7"/>
      <c r="G10" s="7"/>
      <c r="H10" s="7"/>
      <c r="I10" s="7"/>
      <c r="J10" s="7"/>
      <c r="K10" s="7"/>
      <c r="L10" s="7">
        <v>12524</v>
      </c>
    </row>
    <row r="11" spans="1:12" x14ac:dyDescent="0.35">
      <c r="A11" t="s">
        <v>227</v>
      </c>
      <c r="B11" s="7">
        <v>31367</v>
      </c>
      <c r="C11" s="7">
        <v>-5430</v>
      </c>
      <c r="D11" s="7">
        <v>2103</v>
      </c>
      <c r="E11" s="7">
        <v>-7283</v>
      </c>
      <c r="F11" s="7"/>
      <c r="G11" s="7"/>
      <c r="H11" s="7">
        <v>4</v>
      </c>
      <c r="I11" s="7">
        <v>67</v>
      </c>
      <c r="J11" s="7">
        <v>-884</v>
      </c>
      <c r="K11" s="7">
        <v>-340</v>
      </c>
      <c r="L11" s="7">
        <v>19604</v>
      </c>
    </row>
    <row r="12" spans="1:12" x14ac:dyDescent="0.35">
      <c r="A12" t="s">
        <v>228</v>
      </c>
      <c r="B12" s="7">
        <v>-1112124</v>
      </c>
      <c r="C12" s="7">
        <v>-38589</v>
      </c>
      <c r="D12" s="7">
        <v>-225021</v>
      </c>
      <c r="E12" s="7">
        <v>-291502</v>
      </c>
      <c r="F12" s="7">
        <v>-600876</v>
      </c>
      <c r="G12" s="7">
        <v>-212766</v>
      </c>
      <c r="H12" s="7">
        <v>-36357</v>
      </c>
      <c r="I12" s="7">
        <v>-21258</v>
      </c>
      <c r="J12" s="7">
        <v>1005047</v>
      </c>
      <c r="K12" s="7">
        <v>-89</v>
      </c>
      <c r="L12" s="7">
        <v>-1533535</v>
      </c>
    </row>
    <row r="13" spans="1:12" x14ac:dyDescent="0.35">
      <c r="A13" t="s">
        <v>66</v>
      </c>
      <c r="B13" s="7">
        <v>-175670</v>
      </c>
      <c r="C13" s="7">
        <v>-885</v>
      </c>
      <c r="D13" s="7">
        <v>-40973</v>
      </c>
      <c r="E13" s="7">
        <v>-237681</v>
      </c>
      <c r="F13" s="7">
        <v>-7222</v>
      </c>
      <c r="G13" s="7"/>
      <c r="H13" s="7">
        <v>-536</v>
      </c>
      <c r="I13" s="7">
        <v>-41185</v>
      </c>
      <c r="J13" s="7">
        <v>134474</v>
      </c>
      <c r="K13" s="7">
        <v>157134</v>
      </c>
      <c r="L13" s="7">
        <v>-212545</v>
      </c>
    </row>
    <row r="14" spans="1:12" x14ac:dyDescent="0.35">
      <c r="A14" t="s">
        <v>229</v>
      </c>
      <c r="B14" s="7">
        <v>-59437</v>
      </c>
      <c r="C14" s="7">
        <v>-49</v>
      </c>
      <c r="D14" s="7">
        <v>-33811</v>
      </c>
      <c r="E14" s="7">
        <v>-98005</v>
      </c>
      <c r="F14" s="7"/>
      <c r="G14" s="7"/>
      <c r="H14" s="7">
        <v>-371</v>
      </c>
      <c r="I14" s="7">
        <v>-5323</v>
      </c>
      <c r="J14" s="7">
        <v>-602</v>
      </c>
      <c r="K14" s="7">
        <v>174449</v>
      </c>
      <c r="L14" s="7">
        <v>-23150</v>
      </c>
    </row>
    <row r="15" spans="1:12" x14ac:dyDescent="0.35">
      <c r="A15" t="s">
        <v>230</v>
      </c>
      <c r="B15" s="7">
        <v>-4690</v>
      </c>
      <c r="C15" s="7"/>
      <c r="D15" s="7">
        <v>-6695</v>
      </c>
      <c r="E15" s="7">
        <v>6334</v>
      </c>
      <c r="F15" s="7"/>
      <c r="G15" s="7"/>
      <c r="H15" s="7"/>
      <c r="I15" s="7">
        <v>-44</v>
      </c>
      <c r="J15" s="7"/>
      <c r="K15" s="7"/>
      <c r="L15" s="7">
        <v>-5096</v>
      </c>
    </row>
    <row r="16" spans="1:12" x14ac:dyDescent="0.35">
      <c r="A16" t="s">
        <v>70</v>
      </c>
      <c r="B16" s="7"/>
      <c r="C16" s="7">
        <v>-3275191</v>
      </c>
      <c r="D16" s="7">
        <v>3229228</v>
      </c>
      <c r="E16" s="7"/>
      <c r="F16" s="7"/>
      <c r="G16" s="7"/>
      <c r="H16" s="7"/>
      <c r="I16" s="7"/>
      <c r="J16" s="7"/>
      <c r="K16" s="7"/>
      <c r="L16" s="7">
        <v>-45963</v>
      </c>
    </row>
    <row r="17" spans="1:12" x14ac:dyDescent="0.35">
      <c r="A17" t="s">
        <v>231</v>
      </c>
      <c r="B17" s="7">
        <v>-152219</v>
      </c>
      <c r="C17" s="7">
        <v>66</v>
      </c>
      <c r="D17" s="7">
        <v>-3595</v>
      </c>
      <c r="E17" s="7">
        <v>-276</v>
      </c>
      <c r="F17" s="7"/>
      <c r="G17" s="7"/>
      <c r="H17" s="7"/>
      <c r="I17" s="7">
        <v>-44</v>
      </c>
      <c r="J17" s="7"/>
      <c r="K17" s="7"/>
      <c r="L17" s="7">
        <v>-156068</v>
      </c>
    </row>
    <row r="18" spans="1:12" x14ac:dyDescent="0.35">
      <c r="A18" t="s">
        <v>232</v>
      </c>
      <c r="B18" s="7">
        <v>-14389</v>
      </c>
      <c r="C18" s="7">
        <v>7814</v>
      </c>
      <c r="D18" s="7"/>
      <c r="E18" s="7">
        <v>-2846</v>
      </c>
      <c r="F18" s="7"/>
      <c r="G18" s="7"/>
      <c r="H18" s="7"/>
      <c r="I18" s="7"/>
      <c r="J18" s="7"/>
      <c r="K18" s="7"/>
      <c r="L18" s="7">
        <v>-9421</v>
      </c>
    </row>
    <row r="19" spans="1:12" x14ac:dyDescent="0.35">
      <c r="A19" t="s">
        <v>233</v>
      </c>
      <c r="B19" s="7"/>
      <c r="C19" s="7">
        <v>23669</v>
      </c>
      <c r="D19" s="7">
        <v>-23392</v>
      </c>
      <c r="E19" s="7">
        <v>-1533</v>
      </c>
      <c r="F19" s="7"/>
      <c r="G19" s="7"/>
      <c r="H19" s="7"/>
      <c r="I19" s="7">
        <v>-49765</v>
      </c>
      <c r="J19" s="7"/>
      <c r="K19" s="7">
        <v>-90</v>
      </c>
      <c r="L19" s="7">
        <v>-51112</v>
      </c>
    </row>
    <row r="20" spans="1:12" x14ac:dyDescent="0.35">
      <c r="A20" t="s">
        <v>234</v>
      </c>
      <c r="B20" s="7">
        <v>-50889</v>
      </c>
      <c r="C20" s="7">
        <v>-6525</v>
      </c>
      <c r="D20" s="7">
        <v>-183345</v>
      </c>
      <c r="E20" s="7">
        <v>-150139</v>
      </c>
      <c r="F20" s="7"/>
      <c r="G20" s="7"/>
      <c r="H20" s="7"/>
      <c r="I20" s="7">
        <v>-7324</v>
      </c>
      <c r="J20" s="7">
        <v>-105391</v>
      </c>
      <c r="K20" s="7">
        <v>-26117</v>
      </c>
      <c r="L20" s="7">
        <v>-529729</v>
      </c>
    </row>
    <row r="21" spans="1:12" x14ac:dyDescent="0.35">
      <c r="A21" t="s">
        <v>235</v>
      </c>
      <c r="B21" s="7">
        <v>-9299</v>
      </c>
      <c r="C21" s="7">
        <v>-3657</v>
      </c>
      <c r="D21" s="7">
        <v>-589</v>
      </c>
      <c r="E21" s="7">
        <v>-17827</v>
      </c>
      <c r="F21" s="7"/>
      <c r="G21" s="7"/>
      <c r="H21" s="7">
        <v>-8</v>
      </c>
      <c r="I21" s="7">
        <v>-227</v>
      </c>
      <c r="J21" s="7">
        <v>-97474</v>
      </c>
      <c r="K21" s="7">
        <v>-18693</v>
      </c>
      <c r="L21" s="7">
        <v>-147774</v>
      </c>
    </row>
    <row r="22" spans="1:12" x14ac:dyDescent="0.35">
      <c r="A22" t="s">
        <v>131</v>
      </c>
      <c r="B22" s="7">
        <v>660320</v>
      </c>
      <c r="C22" s="7">
        <v>11138</v>
      </c>
      <c r="D22" s="7">
        <v>2789815</v>
      </c>
      <c r="E22" s="7">
        <v>1005865</v>
      </c>
      <c r="F22" s="7"/>
      <c r="G22" s="7"/>
      <c r="H22" s="7">
        <v>5123</v>
      </c>
      <c r="I22" s="7">
        <v>842366</v>
      </c>
      <c r="J22" s="7">
        <v>935008</v>
      </c>
      <c r="K22" s="7">
        <v>286652</v>
      </c>
      <c r="L22" s="7">
        <v>6536286</v>
      </c>
    </row>
    <row r="23" spans="1:12" x14ac:dyDescent="0.35">
      <c r="A23" t="s">
        <v>80</v>
      </c>
      <c r="B23" s="7">
        <v>463124</v>
      </c>
      <c r="C23" s="7">
        <v>4029</v>
      </c>
      <c r="D23" s="7">
        <v>300665</v>
      </c>
      <c r="E23" s="7">
        <v>370446</v>
      </c>
      <c r="F23" s="7"/>
      <c r="G23" s="7"/>
      <c r="H23" s="7">
        <v>211</v>
      </c>
      <c r="I23" s="7">
        <v>123594</v>
      </c>
      <c r="J23" s="7">
        <v>407299</v>
      </c>
      <c r="K23" s="7">
        <v>121720</v>
      </c>
      <c r="L23" s="7">
        <v>1791088</v>
      </c>
    </row>
    <row r="24" spans="1:12" x14ac:dyDescent="0.35">
      <c r="A24" t="s">
        <v>82</v>
      </c>
      <c r="B24" s="7">
        <v>3235</v>
      </c>
      <c r="C24" s="7">
        <v>10</v>
      </c>
      <c r="D24" s="7">
        <v>1626119</v>
      </c>
      <c r="E24" s="7">
        <v>58904</v>
      </c>
      <c r="F24" s="7"/>
      <c r="G24" s="7"/>
      <c r="H24" s="7"/>
      <c r="I24" s="7">
        <v>9754</v>
      </c>
      <c r="J24" s="7">
        <v>18039</v>
      </c>
      <c r="K24" s="7"/>
      <c r="L24" s="7">
        <v>1716062</v>
      </c>
    </row>
    <row r="25" spans="1:12" x14ac:dyDescent="0.35">
      <c r="A25" t="s">
        <v>86</v>
      </c>
      <c r="B25" s="7">
        <v>113547</v>
      </c>
      <c r="C25" s="7">
        <v>133</v>
      </c>
      <c r="D25" s="7">
        <v>213482</v>
      </c>
      <c r="E25" s="7">
        <v>329299</v>
      </c>
      <c r="F25" s="7"/>
      <c r="G25" s="7"/>
      <c r="H25" s="7">
        <v>3296</v>
      </c>
      <c r="I25" s="7">
        <v>686471</v>
      </c>
      <c r="J25" s="7">
        <v>262432</v>
      </c>
      <c r="K25" s="7">
        <v>118031</v>
      </c>
      <c r="L25" s="7">
        <v>1726692</v>
      </c>
    </row>
    <row r="26" spans="1:12" x14ac:dyDescent="0.35">
      <c r="A26" t="s">
        <v>88</v>
      </c>
      <c r="B26" s="7">
        <v>21004</v>
      </c>
      <c r="C26" s="7">
        <v>5</v>
      </c>
      <c r="D26" s="7">
        <v>102658</v>
      </c>
      <c r="E26" s="7">
        <v>136920</v>
      </c>
      <c r="F26" s="7"/>
      <c r="G26" s="7"/>
      <c r="H26" s="7">
        <v>681</v>
      </c>
      <c r="I26" s="7">
        <v>13753</v>
      </c>
      <c r="J26" s="7">
        <v>204248</v>
      </c>
      <c r="K26" s="7">
        <v>23491</v>
      </c>
      <c r="L26" s="7">
        <v>502760</v>
      </c>
    </row>
    <row r="27" spans="1:12" x14ac:dyDescent="0.35">
      <c r="A27" t="s">
        <v>90</v>
      </c>
      <c r="B27" s="7">
        <v>12782</v>
      </c>
      <c r="C27" s="7">
        <v>3</v>
      </c>
      <c r="D27" s="7">
        <v>108943</v>
      </c>
      <c r="E27" s="7">
        <v>6372</v>
      </c>
      <c r="F27" s="7"/>
      <c r="G27" s="7"/>
      <c r="H27" s="7">
        <v>248</v>
      </c>
      <c r="I27" s="7">
        <v>6038</v>
      </c>
      <c r="J27" s="7">
        <v>31057</v>
      </c>
      <c r="K27" s="7">
        <v>8943</v>
      </c>
      <c r="L27" s="7">
        <v>174387</v>
      </c>
    </row>
    <row r="28" spans="1:12" x14ac:dyDescent="0.35">
      <c r="A28" t="s">
        <v>92</v>
      </c>
      <c r="B28" s="7">
        <v>31</v>
      </c>
      <c r="C28" s="7"/>
      <c r="D28" s="7">
        <v>5806</v>
      </c>
      <c r="E28" s="7">
        <v>2</v>
      </c>
      <c r="F28" s="7"/>
      <c r="G28" s="7"/>
      <c r="H28" s="7">
        <v>11</v>
      </c>
      <c r="I28" s="7"/>
      <c r="J28" s="7">
        <v>194</v>
      </c>
      <c r="K28" s="7">
        <v>3</v>
      </c>
      <c r="L28" s="7">
        <v>6048</v>
      </c>
    </row>
    <row r="29" spans="1:12" x14ac:dyDescent="0.35">
      <c r="A29" t="s">
        <v>94</v>
      </c>
      <c r="B29" s="7">
        <v>24846</v>
      </c>
      <c r="C29" s="7">
        <v>424</v>
      </c>
      <c r="D29" s="7">
        <v>18386</v>
      </c>
      <c r="E29" s="7">
        <v>15056</v>
      </c>
      <c r="F29" s="7"/>
      <c r="G29" s="7"/>
      <c r="H29" s="7">
        <v>675</v>
      </c>
      <c r="I29" s="7">
        <v>2754</v>
      </c>
      <c r="J29" s="7">
        <v>11740</v>
      </c>
      <c r="K29" s="7">
        <v>14463</v>
      </c>
      <c r="L29" s="7">
        <v>88345</v>
      </c>
    </row>
    <row r="30" spans="1:12" x14ac:dyDescent="0.35">
      <c r="A30" t="s">
        <v>236</v>
      </c>
      <c r="B30" s="7">
        <v>21751</v>
      </c>
      <c r="C30" s="7">
        <v>6534</v>
      </c>
      <c r="D30" s="7">
        <v>413755</v>
      </c>
      <c r="E30" s="7">
        <v>88865</v>
      </c>
      <c r="F30" s="7"/>
      <c r="G30" s="7"/>
      <c r="H30" s="7"/>
      <c r="I30" s="7"/>
      <c r="J30" s="7"/>
      <c r="K30" s="7"/>
      <c r="L30" s="7">
        <v>530906</v>
      </c>
    </row>
    <row r="32" spans="1:12" x14ac:dyDescent="0.35">
      <c r="B32" s="7">
        <f>SUM(B9,B10:B21,B22*-1)</f>
        <v>-1</v>
      </c>
      <c r="C32" s="7">
        <f t="shared" ref="C32:L32" si="0">SUM(C9,C10:C21,C22*-1)</f>
        <v>0</v>
      </c>
      <c r="D32" s="7">
        <f t="shared" si="0"/>
        <v>1</v>
      </c>
      <c r="E32" s="7">
        <f t="shared" si="0"/>
        <v>1</v>
      </c>
      <c r="F32" s="7">
        <f t="shared" si="0"/>
        <v>0</v>
      </c>
      <c r="G32" s="7">
        <f t="shared" si="0"/>
        <v>0</v>
      </c>
      <c r="H32" s="7">
        <f t="shared" si="0"/>
        <v>0</v>
      </c>
      <c r="I32" s="7">
        <f t="shared" si="0"/>
        <v>0</v>
      </c>
      <c r="J32" s="7">
        <f t="shared" si="0"/>
        <v>0</v>
      </c>
      <c r="K32" s="7">
        <f t="shared" si="0"/>
        <v>1</v>
      </c>
      <c r="L32" s="7">
        <f t="shared" si="0"/>
        <v>0</v>
      </c>
    </row>
  </sheetData>
  <pageMargins left="0.7" right="0.7" top="0.75" bottom="0.75" header="0.3" footer="0.3"/>
  <pageSetup paperSize="9" orientation="portrait" horizontalDpi="4294967293" verticalDpi="4294967293" r:id="rId1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 codeName="Ark64"/>
  <dimension ref="A1:L32"/>
  <sheetViews>
    <sheetView workbookViewId="0">
      <selection activeCell="G37" sqref="G37"/>
    </sheetView>
  </sheetViews>
  <sheetFormatPr defaultRowHeight="14.5" x14ac:dyDescent="0.35"/>
  <cols>
    <col min="1" max="1" width="30" customWidth="1"/>
    <col min="2" max="2" width="11.54296875" customWidth="1"/>
    <col min="3" max="3" width="12" customWidth="1"/>
    <col min="4" max="4" width="14.54296875" customWidth="1"/>
    <col min="5" max="5" width="14.1796875" customWidth="1"/>
    <col min="8" max="8" width="22.81640625" customWidth="1"/>
    <col min="9" max="9" width="21.81640625" customWidth="1"/>
    <col min="10" max="10" width="13.81640625" customWidth="1"/>
    <col min="11" max="11" width="12.26953125" customWidth="1"/>
    <col min="12" max="12" width="11.81640625" customWidth="1"/>
  </cols>
  <sheetData>
    <row r="1" spans="1:12" x14ac:dyDescent="0.35">
      <c r="B1" t="s">
        <v>214</v>
      </c>
      <c r="C1" t="s">
        <v>2</v>
      </c>
      <c r="D1" t="s">
        <v>215</v>
      </c>
      <c r="E1" t="s">
        <v>216</v>
      </c>
      <c r="F1" t="s">
        <v>5</v>
      </c>
      <c r="G1" t="s">
        <v>6</v>
      </c>
      <c r="H1" t="s">
        <v>217</v>
      </c>
      <c r="I1" t="s">
        <v>8</v>
      </c>
      <c r="J1" t="s">
        <v>9</v>
      </c>
      <c r="K1" t="s">
        <v>10</v>
      </c>
      <c r="L1" t="s">
        <v>218</v>
      </c>
    </row>
    <row r="2" spans="1:12" x14ac:dyDescent="0.35">
      <c r="B2" t="s">
        <v>219</v>
      </c>
      <c r="C2" t="s">
        <v>219</v>
      </c>
      <c r="D2" t="s">
        <v>219</v>
      </c>
      <c r="E2" t="s">
        <v>219</v>
      </c>
      <c r="F2" t="s">
        <v>219</v>
      </c>
      <c r="G2" t="s">
        <v>219</v>
      </c>
      <c r="H2" t="s">
        <v>219</v>
      </c>
      <c r="I2" t="s">
        <v>219</v>
      </c>
      <c r="J2" t="s">
        <v>219</v>
      </c>
      <c r="K2" t="s">
        <v>219</v>
      </c>
      <c r="L2" t="s">
        <v>219</v>
      </c>
    </row>
    <row r="3" spans="1:12" x14ac:dyDescent="0.35">
      <c r="A3" t="s">
        <v>17</v>
      </c>
      <c r="B3" s="7">
        <v>218138</v>
      </c>
      <c r="C3" s="7">
        <v>338349</v>
      </c>
      <c r="D3" s="7"/>
      <c r="E3" s="7">
        <v>244258</v>
      </c>
      <c r="F3" s="7">
        <v>247052</v>
      </c>
      <c r="G3" s="7">
        <v>47195</v>
      </c>
      <c r="H3" s="7">
        <v>9864</v>
      </c>
      <c r="I3" s="7">
        <v>71762</v>
      </c>
      <c r="J3" s="7"/>
      <c r="K3" s="7">
        <v>587</v>
      </c>
      <c r="L3" s="7">
        <v>1177205</v>
      </c>
    </row>
    <row r="4" spans="1:12" x14ac:dyDescent="0.35">
      <c r="A4" t="s">
        <v>220</v>
      </c>
      <c r="B4" s="7">
        <v>131311</v>
      </c>
      <c r="C4" s="7">
        <v>645984</v>
      </c>
      <c r="D4" s="7">
        <v>250863</v>
      </c>
      <c r="E4" s="7">
        <v>250553</v>
      </c>
      <c r="F4" s="7"/>
      <c r="G4" s="7"/>
      <c r="H4" s="7"/>
      <c r="I4" s="7">
        <v>850</v>
      </c>
      <c r="J4" s="7">
        <v>24899</v>
      </c>
      <c r="K4" s="7">
        <v>3</v>
      </c>
      <c r="L4" s="7">
        <v>1304463</v>
      </c>
    </row>
    <row r="5" spans="1:12" x14ac:dyDescent="0.35">
      <c r="A5" t="s">
        <v>221</v>
      </c>
      <c r="B5" s="7">
        <v>-28052</v>
      </c>
      <c r="C5" s="7">
        <v>-273728</v>
      </c>
      <c r="D5" s="7">
        <v>-220372</v>
      </c>
      <c r="E5" s="7">
        <v>-91063</v>
      </c>
      <c r="F5" s="7"/>
      <c r="G5" s="7"/>
      <c r="H5" s="7"/>
      <c r="I5" s="7">
        <v>-501</v>
      </c>
      <c r="J5" s="7">
        <v>-24714</v>
      </c>
      <c r="K5" s="7">
        <v>-7</v>
      </c>
      <c r="L5" s="7">
        <v>-638438</v>
      </c>
    </row>
    <row r="6" spans="1:12" x14ac:dyDescent="0.35">
      <c r="A6" t="s">
        <v>222</v>
      </c>
      <c r="B6" s="7"/>
      <c r="C6" s="7"/>
      <c r="D6" s="7">
        <v>-42317</v>
      </c>
      <c r="E6" s="7"/>
      <c r="F6" s="7"/>
      <c r="G6" s="7"/>
      <c r="H6" s="7"/>
      <c r="I6" s="7"/>
      <c r="J6" s="7"/>
      <c r="K6" s="7"/>
      <c r="L6" s="7">
        <v>-42317</v>
      </c>
    </row>
    <row r="7" spans="1:12" x14ac:dyDescent="0.35">
      <c r="A7" t="s">
        <v>223</v>
      </c>
      <c r="B7" s="7"/>
      <c r="C7" s="7"/>
      <c r="D7" s="7">
        <v>-40359</v>
      </c>
      <c r="E7" s="7"/>
      <c r="F7" s="7"/>
      <c r="G7" s="7"/>
      <c r="H7" s="7"/>
      <c r="I7" s="7"/>
      <c r="J7" s="7"/>
      <c r="K7" s="7"/>
      <c r="L7" s="7">
        <v>-40359</v>
      </c>
    </row>
    <row r="8" spans="1:12" x14ac:dyDescent="0.35">
      <c r="A8" t="s">
        <v>224</v>
      </c>
      <c r="B8" s="7">
        <v>9552</v>
      </c>
      <c r="C8" s="7">
        <v>1177</v>
      </c>
      <c r="D8" s="7">
        <v>-5449</v>
      </c>
      <c r="E8" s="7">
        <v>-7356</v>
      </c>
      <c r="F8" s="7"/>
      <c r="G8" s="7"/>
      <c r="H8" s="7"/>
      <c r="I8" s="7">
        <v>54</v>
      </c>
      <c r="J8" s="7"/>
      <c r="K8" s="7"/>
      <c r="L8" s="7">
        <v>-2021</v>
      </c>
    </row>
    <row r="9" spans="1:12" x14ac:dyDescent="0.35">
      <c r="A9" t="s">
        <v>225</v>
      </c>
      <c r="B9" s="7">
        <v>330950</v>
      </c>
      <c r="C9" s="7">
        <v>711783</v>
      </c>
      <c r="D9" s="7">
        <v>-57635</v>
      </c>
      <c r="E9" s="7">
        <v>396392</v>
      </c>
      <c r="F9" s="7">
        <v>247052</v>
      </c>
      <c r="G9" s="7">
        <v>47195</v>
      </c>
      <c r="H9" s="7">
        <v>9864</v>
      </c>
      <c r="I9" s="7">
        <v>72165</v>
      </c>
      <c r="J9" s="7">
        <v>184</v>
      </c>
      <c r="K9" s="7">
        <v>584</v>
      </c>
      <c r="L9" s="7">
        <v>1758534</v>
      </c>
    </row>
    <row r="10" spans="1:12" x14ac:dyDescent="0.35">
      <c r="A10" t="s">
        <v>226</v>
      </c>
      <c r="B10" s="7"/>
      <c r="C10" s="7">
        <v>11125</v>
      </c>
      <c r="D10" s="7">
        <v>-8588</v>
      </c>
      <c r="E10" s="7"/>
      <c r="F10" s="7"/>
      <c r="G10" s="7"/>
      <c r="H10" s="7"/>
      <c r="I10" s="7"/>
      <c r="J10" s="7"/>
      <c r="K10" s="7"/>
      <c r="L10" s="7">
        <v>2537</v>
      </c>
    </row>
    <row r="11" spans="1:12" x14ac:dyDescent="0.35">
      <c r="A11" t="s">
        <v>227</v>
      </c>
      <c r="B11" s="7">
        <v>380</v>
      </c>
      <c r="C11" s="7">
        <v>904</v>
      </c>
      <c r="D11" s="7">
        <v>7447</v>
      </c>
      <c r="E11" s="7">
        <v>-3747</v>
      </c>
      <c r="F11" s="7"/>
      <c r="G11" s="7"/>
      <c r="H11" s="7">
        <v>-15</v>
      </c>
      <c r="I11" s="7">
        <v>-174</v>
      </c>
      <c r="J11" s="7">
        <v>-82</v>
      </c>
      <c r="K11" s="7">
        <v>-108</v>
      </c>
      <c r="L11" s="7">
        <v>4604</v>
      </c>
    </row>
    <row r="12" spans="1:12" x14ac:dyDescent="0.35">
      <c r="A12" t="s">
        <v>228</v>
      </c>
      <c r="B12" s="7">
        <v>-170213</v>
      </c>
      <c r="C12" s="7"/>
      <c r="D12" s="7">
        <v>-30707</v>
      </c>
      <c r="E12" s="7">
        <v>-61200</v>
      </c>
      <c r="F12" s="7">
        <v>-241071</v>
      </c>
      <c r="G12" s="7">
        <v>-47195</v>
      </c>
      <c r="H12" s="7">
        <v>-6708</v>
      </c>
      <c r="I12" s="7">
        <v>-6842</v>
      </c>
      <c r="J12" s="7">
        <v>237818</v>
      </c>
      <c r="K12" s="7">
        <v>-87</v>
      </c>
      <c r="L12" s="7">
        <v>-326204</v>
      </c>
    </row>
    <row r="13" spans="1:12" x14ac:dyDescent="0.35">
      <c r="A13" t="s">
        <v>66</v>
      </c>
      <c r="B13" s="7">
        <v>-59463</v>
      </c>
      <c r="C13" s="7">
        <v>-831</v>
      </c>
      <c r="D13" s="7">
        <v>-8058</v>
      </c>
      <c r="E13" s="7">
        <v>-36050</v>
      </c>
      <c r="F13" s="7">
        <v>-5981</v>
      </c>
      <c r="G13" s="7"/>
      <c r="H13" s="7">
        <v>-817</v>
      </c>
      <c r="I13" s="7">
        <v>-8684</v>
      </c>
      <c r="J13" s="7">
        <v>40589</v>
      </c>
      <c r="K13" s="7">
        <v>31602</v>
      </c>
      <c r="L13" s="7">
        <v>-47693</v>
      </c>
    </row>
    <row r="14" spans="1:12" x14ac:dyDescent="0.35">
      <c r="A14" t="s">
        <v>229</v>
      </c>
      <c r="B14" s="7">
        <v>-5113</v>
      </c>
      <c r="C14" s="7">
        <v>-2</v>
      </c>
      <c r="D14" s="7">
        <v>-2904</v>
      </c>
      <c r="E14" s="7">
        <v>-7073</v>
      </c>
      <c r="F14" s="7"/>
      <c r="G14" s="7"/>
      <c r="H14" s="7">
        <v>-458</v>
      </c>
      <c r="I14" s="7">
        <v>-2784</v>
      </c>
      <c r="J14" s="7">
        <v>-430</v>
      </c>
      <c r="K14" s="7">
        <v>15471</v>
      </c>
      <c r="L14" s="7">
        <v>-3293</v>
      </c>
    </row>
    <row r="15" spans="1:12" x14ac:dyDescent="0.35">
      <c r="A15" t="s">
        <v>230</v>
      </c>
      <c r="B15" s="7">
        <v>53</v>
      </c>
      <c r="C15" s="7"/>
      <c r="D15" s="7">
        <v>-245</v>
      </c>
      <c r="E15" s="7">
        <v>-51</v>
      </c>
      <c r="F15" s="7"/>
      <c r="G15" s="7"/>
      <c r="H15" s="7"/>
      <c r="I15" s="7">
        <v>-13</v>
      </c>
      <c r="J15" s="7"/>
      <c r="K15" s="7"/>
      <c r="L15" s="7">
        <v>-256</v>
      </c>
    </row>
    <row r="16" spans="1:12" x14ac:dyDescent="0.35">
      <c r="A16" t="s">
        <v>70</v>
      </c>
      <c r="B16" s="7"/>
      <c r="C16" s="7">
        <v>-737446</v>
      </c>
      <c r="D16" s="7">
        <v>730125</v>
      </c>
      <c r="E16" s="7"/>
      <c r="F16" s="7"/>
      <c r="G16" s="7"/>
      <c r="H16" s="7"/>
      <c r="I16" s="7"/>
      <c r="J16" s="7"/>
      <c r="K16" s="7"/>
      <c r="L16" s="7">
        <v>-7321</v>
      </c>
    </row>
    <row r="17" spans="1:12" x14ac:dyDescent="0.35">
      <c r="A17" t="s">
        <v>231</v>
      </c>
      <c r="B17" s="7">
        <v>-25225</v>
      </c>
      <c r="C17" s="7">
        <v>52</v>
      </c>
      <c r="D17" s="7">
        <v>-1969</v>
      </c>
      <c r="E17" s="7">
        <v>-84</v>
      </c>
      <c r="F17" s="7"/>
      <c r="G17" s="7"/>
      <c r="H17" s="7"/>
      <c r="I17" s="7"/>
      <c r="J17" s="7"/>
      <c r="K17" s="7"/>
      <c r="L17" s="7">
        <v>-27226</v>
      </c>
    </row>
    <row r="18" spans="1:12" x14ac:dyDescent="0.35">
      <c r="A18" t="s">
        <v>232</v>
      </c>
      <c r="B18" s="7">
        <v>-375</v>
      </c>
      <c r="C18" s="7">
        <v>229</v>
      </c>
      <c r="D18" s="7"/>
      <c r="E18" s="7"/>
      <c r="F18" s="7"/>
      <c r="G18" s="7"/>
      <c r="H18" s="7"/>
      <c r="I18" s="7"/>
      <c r="J18" s="7"/>
      <c r="K18" s="7"/>
      <c r="L18" s="7">
        <v>-146</v>
      </c>
    </row>
    <row r="19" spans="1:12" x14ac:dyDescent="0.35">
      <c r="A19" t="s">
        <v>233</v>
      </c>
      <c r="B19" s="7">
        <v>-142</v>
      </c>
      <c r="C19" s="7">
        <v>17368</v>
      </c>
      <c r="D19" s="7">
        <v>-17328</v>
      </c>
      <c r="E19" s="7">
        <v>-318</v>
      </c>
      <c r="F19" s="7"/>
      <c r="G19" s="7"/>
      <c r="H19" s="7"/>
      <c r="I19" s="7">
        <v>-80</v>
      </c>
      <c r="J19" s="7"/>
      <c r="K19" s="7">
        <v>-237</v>
      </c>
      <c r="L19" s="7">
        <v>-737</v>
      </c>
    </row>
    <row r="20" spans="1:12" x14ac:dyDescent="0.35">
      <c r="A20" t="s">
        <v>234</v>
      </c>
      <c r="B20" s="7">
        <v>-8290</v>
      </c>
      <c r="C20" s="7">
        <v>-384</v>
      </c>
      <c r="D20" s="7">
        <v>-39520</v>
      </c>
      <c r="E20" s="7">
        <v>-14742</v>
      </c>
      <c r="F20" s="7"/>
      <c r="G20" s="7"/>
      <c r="H20" s="7"/>
      <c r="I20" s="7">
        <v>-11</v>
      </c>
      <c r="J20" s="7">
        <v>-23640</v>
      </c>
      <c r="K20" s="7">
        <v>-2280</v>
      </c>
      <c r="L20" s="7">
        <v>-88867</v>
      </c>
    </row>
    <row r="21" spans="1:12" x14ac:dyDescent="0.35">
      <c r="A21" t="s">
        <v>235</v>
      </c>
      <c r="B21" s="7">
        <v>-771</v>
      </c>
      <c r="C21" s="7"/>
      <c r="D21" s="7">
        <v>-199</v>
      </c>
      <c r="E21" s="7">
        <v>-3877</v>
      </c>
      <c r="F21" s="7"/>
      <c r="G21" s="7"/>
      <c r="H21" s="7">
        <v>-7</v>
      </c>
      <c r="I21" s="7">
        <v>-1</v>
      </c>
      <c r="J21" s="7">
        <v>-20765</v>
      </c>
      <c r="K21" s="7">
        <v>-2971</v>
      </c>
      <c r="L21" s="7">
        <v>-28592</v>
      </c>
    </row>
    <row r="22" spans="1:12" x14ac:dyDescent="0.35">
      <c r="A22" t="s">
        <v>131</v>
      </c>
      <c r="B22" s="7">
        <v>61789</v>
      </c>
      <c r="C22" s="7">
        <v>2799</v>
      </c>
      <c r="D22" s="7">
        <v>570419</v>
      </c>
      <c r="E22" s="7">
        <v>269251</v>
      </c>
      <c r="F22" s="7"/>
      <c r="G22" s="7"/>
      <c r="H22" s="7">
        <v>1858</v>
      </c>
      <c r="I22" s="7">
        <v>53576</v>
      </c>
      <c r="J22" s="7">
        <v>233674</v>
      </c>
      <c r="K22" s="7">
        <v>41974</v>
      </c>
      <c r="L22" s="7">
        <v>1235341</v>
      </c>
    </row>
    <row r="23" spans="1:12" x14ac:dyDescent="0.35">
      <c r="A23" t="s">
        <v>80</v>
      </c>
      <c r="B23" s="7">
        <v>45611</v>
      </c>
      <c r="C23" s="7">
        <v>12</v>
      </c>
      <c r="D23" s="7">
        <v>54055</v>
      </c>
      <c r="E23" s="7">
        <v>98639</v>
      </c>
      <c r="F23" s="7"/>
      <c r="G23" s="7"/>
      <c r="H23" s="7">
        <v>109</v>
      </c>
      <c r="I23" s="7">
        <v>17144</v>
      </c>
      <c r="J23" s="7">
        <v>98757</v>
      </c>
      <c r="K23" s="7">
        <v>10892</v>
      </c>
      <c r="L23" s="7">
        <v>325219</v>
      </c>
    </row>
    <row r="24" spans="1:12" x14ac:dyDescent="0.35">
      <c r="A24" t="s">
        <v>82</v>
      </c>
      <c r="B24" s="7">
        <v>10</v>
      </c>
      <c r="C24" s="7"/>
      <c r="D24" s="7">
        <v>310392</v>
      </c>
      <c r="E24" s="7">
        <v>713</v>
      </c>
      <c r="F24" s="7"/>
      <c r="G24" s="7"/>
      <c r="H24" s="7"/>
      <c r="I24" s="7">
        <v>712</v>
      </c>
      <c r="J24" s="7">
        <v>6145</v>
      </c>
      <c r="K24" s="7"/>
      <c r="L24" s="7">
        <v>317973</v>
      </c>
    </row>
    <row r="25" spans="1:12" x14ac:dyDescent="0.35">
      <c r="A25" t="s">
        <v>86</v>
      </c>
      <c r="B25" s="7">
        <v>11476</v>
      </c>
      <c r="C25" s="7"/>
      <c r="D25" s="7">
        <v>62767</v>
      </c>
      <c r="E25" s="7">
        <v>109566</v>
      </c>
      <c r="F25" s="7"/>
      <c r="G25" s="7"/>
      <c r="H25" s="7">
        <v>1310</v>
      </c>
      <c r="I25" s="7">
        <v>32975</v>
      </c>
      <c r="J25" s="7">
        <v>65999</v>
      </c>
      <c r="K25" s="7">
        <v>20449</v>
      </c>
      <c r="L25" s="7">
        <v>304543</v>
      </c>
    </row>
    <row r="26" spans="1:12" x14ac:dyDescent="0.35">
      <c r="A26" t="s">
        <v>88</v>
      </c>
      <c r="B26" s="7">
        <v>1961</v>
      </c>
      <c r="C26" s="7"/>
      <c r="D26" s="7">
        <v>23659</v>
      </c>
      <c r="E26" s="7">
        <v>34970</v>
      </c>
      <c r="F26" s="7"/>
      <c r="G26" s="7"/>
      <c r="H26" s="7">
        <v>317</v>
      </c>
      <c r="I26" s="7">
        <v>1502</v>
      </c>
      <c r="J26" s="7">
        <v>58439</v>
      </c>
      <c r="K26" s="7">
        <v>6863</v>
      </c>
      <c r="L26" s="7">
        <v>127712</v>
      </c>
    </row>
    <row r="27" spans="1:12" x14ac:dyDescent="0.35">
      <c r="A27" t="s">
        <v>90</v>
      </c>
      <c r="B27" s="7">
        <v>1078</v>
      </c>
      <c r="C27" s="7"/>
      <c r="D27" s="7">
        <v>19282</v>
      </c>
      <c r="E27" s="7">
        <v>4305</v>
      </c>
      <c r="F27" s="7"/>
      <c r="G27" s="7"/>
      <c r="H27" s="7">
        <v>43</v>
      </c>
      <c r="I27" s="7">
        <v>1213</v>
      </c>
      <c r="J27" s="7">
        <v>3925</v>
      </c>
      <c r="K27" s="7">
        <v>491</v>
      </c>
      <c r="L27" s="7">
        <v>30337</v>
      </c>
    </row>
    <row r="28" spans="1:12" x14ac:dyDescent="0.35">
      <c r="A28" t="s">
        <v>92</v>
      </c>
      <c r="B28" s="7"/>
      <c r="C28" s="7"/>
      <c r="D28" s="7">
        <v>2101</v>
      </c>
      <c r="E28" s="7"/>
      <c r="F28" s="7"/>
      <c r="G28" s="7"/>
      <c r="H28" s="7">
        <v>67</v>
      </c>
      <c r="I28" s="7"/>
      <c r="J28" s="7">
        <v>2</v>
      </c>
      <c r="K28" s="7">
        <v>4</v>
      </c>
      <c r="L28" s="7">
        <v>2173</v>
      </c>
    </row>
    <row r="29" spans="1:12" x14ac:dyDescent="0.35">
      <c r="A29" t="s">
        <v>94</v>
      </c>
      <c r="B29" s="7">
        <v>309</v>
      </c>
      <c r="C29" s="7"/>
      <c r="D29" s="7">
        <v>1854</v>
      </c>
      <c r="E29" s="7">
        <v>6556</v>
      </c>
      <c r="F29" s="7"/>
      <c r="G29" s="7"/>
      <c r="H29" s="7">
        <v>12</v>
      </c>
      <c r="I29" s="7">
        <v>28</v>
      </c>
      <c r="J29" s="7">
        <v>407</v>
      </c>
      <c r="K29" s="7">
        <v>3276</v>
      </c>
      <c r="L29" s="7">
        <v>12442</v>
      </c>
    </row>
    <row r="30" spans="1:12" x14ac:dyDescent="0.35">
      <c r="A30" t="s">
        <v>236</v>
      </c>
      <c r="B30" s="7">
        <v>1344</v>
      </c>
      <c r="C30" s="7">
        <v>2787</v>
      </c>
      <c r="D30" s="7">
        <v>96309</v>
      </c>
      <c r="E30" s="7">
        <v>14501</v>
      </c>
      <c r="F30" s="7"/>
      <c r="G30" s="7"/>
      <c r="H30" s="7"/>
      <c r="I30" s="7"/>
      <c r="J30" s="7"/>
      <c r="K30" s="7"/>
      <c r="L30" s="7">
        <v>114942</v>
      </c>
    </row>
    <row r="32" spans="1:12" x14ac:dyDescent="0.35">
      <c r="B32" s="7">
        <f>SUM(B9,B10:B21,B22*-1)</f>
        <v>2</v>
      </c>
      <c r="C32" s="7">
        <f t="shared" ref="C32:L32" si="0">SUM(C9,C10:C21,C22*-1)</f>
        <v>-1</v>
      </c>
      <c r="D32" s="7">
        <f t="shared" si="0"/>
        <v>0</v>
      </c>
      <c r="E32" s="7">
        <f t="shared" si="0"/>
        <v>-1</v>
      </c>
      <c r="F32" s="7">
        <f t="shared" si="0"/>
        <v>0</v>
      </c>
      <c r="G32" s="7">
        <f t="shared" si="0"/>
        <v>0</v>
      </c>
      <c r="H32" s="7">
        <f t="shared" si="0"/>
        <v>1</v>
      </c>
      <c r="I32" s="7">
        <f t="shared" si="0"/>
        <v>0</v>
      </c>
      <c r="J32" s="7">
        <f t="shared" si="0"/>
        <v>0</v>
      </c>
      <c r="K32" s="7">
        <f t="shared" si="0"/>
        <v>0</v>
      </c>
      <c r="L32" s="7">
        <f t="shared" si="0"/>
        <v>-1</v>
      </c>
    </row>
  </sheetData>
  <pageMargins left="0.7" right="0.7" top="0.75" bottom="0.75" header="0.3" footer="0.3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 codeName="Ark65"/>
  <dimension ref="A1:L32"/>
  <sheetViews>
    <sheetView workbookViewId="0">
      <selection activeCell="A37" sqref="A37"/>
    </sheetView>
  </sheetViews>
  <sheetFormatPr defaultRowHeight="14.5" x14ac:dyDescent="0.35"/>
  <cols>
    <col min="1" max="1" width="30" customWidth="1"/>
    <col min="2" max="2" width="11.54296875" customWidth="1"/>
    <col min="3" max="3" width="12" customWidth="1"/>
    <col min="4" max="4" width="14.54296875" customWidth="1"/>
    <col min="5" max="5" width="14.1796875" customWidth="1"/>
    <col min="8" max="8" width="22.81640625" customWidth="1"/>
    <col min="9" max="9" width="21.81640625" customWidth="1"/>
    <col min="10" max="10" width="13.81640625" customWidth="1"/>
    <col min="11" max="11" width="12.26953125" customWidth="1"/>
    <col min="12" max="12" width="11.81640625" customWidth="1"/>
  </cols>
  <sheetData>
    <row r="1" spans="1:12" x14ac:dyDescent="0.35">
      <c r="B1" t="s">
        <v>214</v>
      </c>
      <c r="C1" t="s">
        <v>2</v>
      </c>
      <c r="D1" t="s">
        <v>215</v>
      </c>
      <c r="E1" t="s">
        <v>216</v>
      </c>
      <c r="F1" t="s">
        <v>5</v>
      </c>
      <c r="G1" t="s">
        <v>6</v>
      </c>
      <c r="H1" t="s">
        <v>217</v>
      </c>
      <c r="I1" t="s">
        <v>8</v>
      </c>
      <c r="J1" t="s">
        <v>9</v>
      </c>
      <c r="K1" t="s">
        <v>10</v>
      </c>
      <c r="L1" t="s">
        <v>218</v>
      </c>
    </row>
    <row r="2" spans="1:12" x14ac:dyDescent="0.35">
      <c r="B2" t="s">
        <v>219</v>
      </c>
      <c r="C2" t="s">
        <v>219</v>
      </c>
      <c r="D2" t="s">
        <v>219</v>
      </c>
      <c r="E2" t="s">
        <v>219</v>
      </c>
      <c r="F2" t="s">
        <v>219</v>
      </c>
      <c r="G2" t="s">
        <v>219</v>
      </c>
      <c r="H2" t="s">
        <v>219</v>
      </c>
      <c r="I2" t="s">
        <v>219</v>
      </c>
      <c r="J2" t="s">
        <v>219</v>
      </c>
      <c r="K2" t="s">
        <v>219</v>
      </c>
      <c r="L2" t="s">
        <v>219</v>
      </c>
    </row>
    <row r="3" spans="1:12" x14ac:dyDescent="0.35">
      <c r="A3" t="s">
        <v>17</v>
      </c>
      <c r="B3" s="7">
        <v>197804</v>
      </c>
      <c r="C3" s="7">
        <v>265042</v>
      </c>
      <c r="D3" s="7"/>
      <c r="E3" s="7">
        <v>254344</v>
      </c>
      <c r="F3" s="7">
        <v>259902</v>
      </c>
      <c r="G3" s="7">
        <v>42582</v>
      </c>
      <c r="H3" s="7">
        <v>15543</v>
      </c>
      <c r="I3" s="7">
        <v>93235</v>
      </c>
      <c r="J3" s="7"/>
      <c r="K3" s="7">
        <v>665</v>
      </c>
      <c r="L3" s="7">
        <v>1129116</v>
      </c>
    </row>
    <row r="4" spans="1:12" x14ac:dyDescent="0.35">
      <c r="A4" t="s">
        <v>220</v>
      </c>
      <c r="B4" s="7">
        <v>155431</v>
      </c>
      <c r="C4" s="7">
        <v>674026</v>
      </c>
      <c r="D4" s="7">
        <v>310308</v>
      </c>
      <c r="E4" s="7">
        <v>341096</v>
      </c>
      <c r="F4" s="7"/>
      <c r="G4" s="7"/>
      <c r="H4" s="7"/>
      <c r="I4" s="7">
        <v>4186</v>
      </c>
      <c r="J4" s="7">
        <v>31461</v>
      </c>
      <c r="K4" s="7">
        <v>4</v>
      </c>
      <c r="L4" s="7">
        <v>1516511</v>
      </c>
    </row>
    <row r="5" spans="1:12" x14ac:dyDescent="0.35">
      <c r="A5" t="s">
        <v>221</v>
      </c>
      <c r="B5" s="7">
        <v>-24775</v>
      </c>
      <c r="C5" s="7">
        <v>-193517</v>
      </c>
      <c r="D5" s="7">
        <v>-287564</v>
      </c>
      <c r="E5" s="7">
        <v>-140287</v>
      </c>
      <c r="F5" s="7"/>
      <c r="G5" s="7"/>
      <c r="H5" s="7"/>
      <c r="I5" s="7">
        <v>-2032</v>
      </c>
      <c r="J5" s="7">
        <v>-30180</v>
      </c>
      <c r="K5" s="7">
        <v>-9</v>
      </c>
      <c r="L5" s="7">
        <v>-678365</v>
      </c>
    </row>
    <row r="6" spans="1:12" x14ac:dyDescent="0.35">
      <c r="A6" t="s">
        <v>222</v>
      </c>
      <c r="B6" s="7"/>
      <c r="C6" s="7"/>
      <c r="D6" s="7">
        <v>-49421</v>
      </c>
      <c r="E6" s="7"/>
      <c r="F6" s="7"/>
      <c r="G6" s="7"/>
      <c r="H6" s="7"/>
      <c r="I6" s="7"/>
      <c r="J6" s="7"/>
      <c r="K6" s="7"/>
      <c r="L6" s="7">
        <v>-49421</v>
      </c>
    </row>
    <row r="7" spans="1:12" x14ac:dyDescent="0.35">
      <c r="A7" t="s">
        <v>223</v>
      </c>
      <c r="B7" s="7"/>
      <c r="C7" s="7"/>
      <c r="D7" s="7">
        <v>-44932</v>
      </c>
      <c r="E7" s="7"/>
      <c r="F7" s="7"/>
      <c r="G7" s="7"/>
      <c r="H7" s="7"/>
      <c r="I7" s="7"/>
      <c r="J7" s="7"/>
      <c r="K7" s="7"/>
      <c r="L7" s="7">
        <v>-44932</v>
      </c>
    </row>
    <row r="8" spans="1:12" x14ac:dyDescent="0.35">
      <c r="A8" t="s">
        <v>224</v>
      </c>
      <c r="B8" s="7">
        <v>-3282</v>
      </c>
      <c r="C8" s="7">
        <v>-427</v>
      </c>
      <c r="D8" s="7">
        <v>-5295</v>
      </c>
      <c r="E8" s="7">
        <v>524</v>
      </c>
      <c r="F8" s="7"/>
      <c r="G8" s="7"/>
      <c r="H8" s="7"/>
      <c r="I8" s="7">
        <v>-18</v>
      </c>
      <c r="J8" s="7"/>
      <c r="K8" s="7"/>
      <c r="L8" s="7">
        <v>-8497</v>
      </c>
    </row>
    <row r="9" spans="1:12" x14ac:dyDescent="0.35">
      <c r="A9" t="s">
        <v>225</v>
      </c>
      <c r="B9" s="7">
        <v>325178</v>
      </c>
      <c r="C9" s="7">
        <v>745124</v>
      </c>
      <c r="D9" s="7">
        <v>-76904</v>
      </c>
      <c r="E9" s="7">
        <v>455677</v>
      </c>
      <c r="F9" s="7">
        <v>259902</v>
      </c>
      <c r="G9" s="7">
        <v>42582</v>
      </c>
      <c r="H9" s="7">
        <v>15543</v>
      </c>
      <c r="I9" s="7">
        <v>95371</v>
      </c>
      <c r="J9" s="7">
        <v>1281</v>
      </c>
      <c r="K9" s="7">
        <v>659</v>
      </c>
      <c r="L9" s="7">
        <v>1864412</v>
      </c>
    </row>
    <row r="10" spans="1:12" x14ac:dyDescent="0.35">
      <c r="A10" t="s">
        <v>226</v>
      </c>
      <c r="B10" s="7"/>
      <c r="C10" s="7">
        <v>-600</v>
      </c>
      <c r="D10" s="7">
        <v>3472</v>
      </c>
      <c r="E10" s="7"/>
      <c r="F10" s="7"/>
      <c r="G10" s="7"/>
      <c r="H10" s="7"/>
      <c r="I10" s="7"/>
      <c r="J10" s="7"/>
      <c r="K10" s="7"/>
      <c r="L10" s="7">
        <v>2872</v>
      </c>
    </row>
    <row r="11" spans="1:12" x14ac:dyDescent="0.35">
      <c r="A11" t="s">
        <v>227</v>
      </c>
      <c r="B11" s="7">
        <v>-67</v>
      </c>
      <c r="C11" s="7">
        <v>531</v>
      </c>
      <c r="D11" s="7">
        <v>1919</v>
      </c>
      <c r="E11" s="7">
        <v>-3888</v>
      </c>
      <c r="F11" s="7"/>
      <c r="G11" s="7"/>
      <c r="H11" s="7">
        <v>-15</v>
      </c>
      <c r="I11" s="7"/>
      <c r="J11" s="7">
        <v>-128</v>
      </c>
      <c r="K11" s="7">
        <v>-195</v>
      </c>
      <c r="L11" s="7">
        <v>-1844</v>
      </c>
    </row>
    <row r="12" spans="1:12" x14ac:dyDescent="0.35">
      <c r="A12" t="s">
        <v>228</v>
      </c>
      <c r="B12" s="7">
        <v>-172282</v>
      </c>
      <c r="C12" s="7">
        <v>-2</v>
      </c>
      <c r="D12" s="7">
        <v>-21022</v>
      </c>
      <c r="E12" s="7">
        <v>-74829</v>
      </c>
      <c r="F12" s="7">
        <v>-248817</v>
      </c>
      <c r="G12" s="7">
        <v>-42582</v>
      </c>
      <c r="H12" s="7">
        <v>-11473</v>
      </c>
      <c r="I12" s="7">
        <v>-12286</v>
      </c>
      <c r="J12" s="7">
        <v>245757</v>
      </c>
      <c r="K12" s="7">
        <v>-255</v>
      </c>
      <c r="L12" s="7">
        <v>-337791</v>
      </c>
    </row>
    <row r="13" spans="1:12" x14ac:dyDescent="0.35">
      <c r="A13" t="s">
        <v>66</v>
      </c>
      <c r="B13" s="7">
        <v>-63533</v>
      </c>
      <c r="C13" s="7">
        <v>-57</v>
      </c>
      <c r="D13" s="7">
        <v>-12118</v>
      </c>
      <c r="E13" s="7">
        <v>-60200</v>
      </c>
      <c r="F13" s="7">
        <v>-11085</v>
      </c>
      <c r="G13" s="7"/>
      <c r="H13" s="7">
        <v>-869</v>
      </c>
      <c r="I13" s="7">
        <v>-15634</v>
      </c>
      <c r="J13" s="7">
        <v>58102</v>
      </c>
      <c r="K13" s="7">
        <v>42568</v>
      </c>
      <c r="L13" s="7">
        <v>-62826</v>
      </c>
    </row>
    <row r="14" spans="1:12" x14ac:dyDescent="0.35">
      <c r="A14" t="s">
        <v>229</v>
      </c>
      <c r="B14" s="7">
        <v>-4521</v>
      </c>
      <c r="C14" s="7"/>
      <c r="D14" s="7">
        <v>-2067</v>
      </c>
      <c r="E14" s="7">
        <v>-8708</v>
      </c>
      <c r="F14" s="7"/>
      <c r="G14" s="7"/>
      <c r="H14" s="7">
        <v>-640</v>
      </c>
      <c r="I14" s="7">
        <v>-3996</v>
      </c>
      <c r="J14" s="7">
        <v>-267</v>
      </c>
      <c r="K14" s="7">
        <v>16158</v>
      </c>
      <c r="L14" s="7">
        <v>-4041</v>
      </c>
    </row>
    <row r="15" spans="1:12" x14ac:dyDescent="0.35">
      <c r="A15" t="s">
        <v>230</v>
      </c>
      <c r="B15" s="7">
        <v>-139</v>
      </c>
      <c r="C15" s="7"/>
      <c r="D15" s="7">
        <v>-107</v>
      </c>
      <c r="E15" s="7">
        <v>-10</v>
      </c>
      <c r="F15" s="7"/>
      <c r="G15" s="7"/>
      <c r="H15" s="7"/>
      <c r="I15" s="7">
        <v>-11</v>
      </c>
      <c r="J15" s="7"/>
      <c r="K15" s="7"/>
      <c r="L15" s="7">
        <v>-268</v>
      </c>
    </row>
    <row r="16" spans="1:12" x14ac:dyDescent="0.35">
      <c r="A16" t="s">
        <v>70</v>
      </c>
      <c r="B16" s="7"/>
      <c r="C16" s="7">
        <v>-756235</v>
      </c>
      <c r="D16" s="7">
        <v>746732</v>
      </c>
      <c r="E16" s="7"/>
      <c r="F16" s="7"/>
      <c r="G16" s="7"/>
      <c r="H16" s="7"/>
      <c r="I16" s="7"/>
      <c r="J16" s="7"/>
      <c r="K16" s="7"/>
      <c r="L16" s="7">
        <v>-9503</v>
      </c>
    </row>
    <row r="17" spans="1:12" x14ac:dyDescent="0.35">
      <c r="A17" t="s">
        <v>231</v>
      </c>
      <c r="B17" s="7">
        <v>-21777</v>
      </c>
      <c r="C17" s="7">
        <v>23</v>
      </c>
      <c r="D17" s="7">
        <v>-1936</v>
      </c>
      <c r="E17" s="7">
        <v>-48</v>
      </c>
      <c r="F17" s="7"/>
      <c r="G17" s="7"/>
      <c r="H17" s="7"/>
      <c r="I17" s="7"/>
      <c r="J17" s="7"/>
      <c r="K17" s="7"/>
      <c r="L17" s="7">
        <v>-23738</v>
      </c>
    </row>
    <row r="18" spans="1:12" x14ac:dyDescent="0.35">
      <c r="A18" t="s">
        <v>232</v>
      </c>
      <c r="B18" s="7">
        <v>-495</v>
      </c>
      <c r="C18" s="7">
        <v>346</v>
      </c>
      <c r="D18" s="7"/>
      <c r="E18" s="7"/>
      <c r="F18" s="7"/>
      <c r="G18" s="7"/>
      <c r="H18" s="7"/>
      <c r="I18" s="7"/>
      <c r="J18" s="7"/>
      <c r="K18" s="7"/>
      <c r="L18" s="7">
        <v>-149</v>
      </c>
    </row>
    <row r="19" spans="1:12" x14ac:dyDescent="0.35">
      <c r="A19" t="s">
        <v>233</v>
      </c>
      <c r="B19" s="7">
        <v>-163</v>
      </c>
      <c r="C19" s="7">
        <v>14242</v>
      </c>
      <c r="D19" s="7">
        <v>-14292</v>
      </c>
      <c r="E19" s="7">
        <v>-396</v>
      </c>
      <c r="F19" s="7"/>
      <c r="G19" s="7"/>
      <c r="H19" s="7"/>
      <c r="I19" s="7">
        <v>-40</v>
      </c>
      <c r="J19" s="7"/>
      <c r="K19" s="7">
        <v>-221</v>
      </c>
      <c r="L19" s="7">
        <v>-870</v>
      </c>
    </row>
    <row r="20" spans="1:12" x14ac:dyDescent="0.35">
      <c r="A20" t="s">
        <v>234</v>
      </c>
      <c r="B20" s="7">
        <v>-7577</v>
      </c>
      <c r="C20" s="7"/>
      <c r="D20" s="7">
        <v>-41141</v>
      </c>
      <c r="E20" s="7">
        <v>-15613</v>
      </c>
      <c r="F20" s="7"/>
      <c r="G20" s="7"/>
      <c r="H20" s="7"/>
      <c r="I20" s="7">
        <v>-109</v>
      </c>
      <c r="J20" s="7">
        <v>-25488</v>
      </c>
      <c r="K20" s="7">
        <v>-3211</v>
      </c>
      <c r="L20" s="7">
        <v>-93138</v>
      </c>
    </row>
    <row r="21" spans="1:12" x14ac:dyDescent="0.35">
      <c r="A21" t="s">
        <v>235</v>
      </c>
      <c r="B21" s="7">
        <v>-1231</v>
      </c>
      <c r="C21" s="7"/>
      <c r="D21" s="7">
        <v>-62</v>
      </c>
      <c r="E21" s="7">
        <v>-2977</v>
      </c>
      <c r="F21" s="7"/>
      <c r="G21" s="7"/>
      <c r="H21" s="7">
        <v>-8</v>
      </c>
      <c r="I21" s="7">
        <v>-141</v>
      </c>
      <c r="J21" s="7">
        <v>-21091</v>
      </c>
      <c r="K21" s="7">
        <v>-4376</v>
      </c>
      <c r="L21" s="7">
        <v>-29887</v>
      </c>
    </row>
    <row r="22" spans="1:12" x14ac:dyDescent="0.35">
      <c r="A22" t="s">
        <v>131</v>
      </c>
      <c r="B22" s="7">
        <v>53392</v>
      </c>
      <c r="C22" s="7">
        <v>3371</v>
      </c>
      <c r="D22" s="7">
        <v>582474</v>
      </c>
      <c r="E22" s="7">
        <v>289008</v>
      </c>
      <c r="F22" s="7"/>
      <c r="G22" s="7"/>
      <c r="H22" s="7">
        <v>2537</v>
      </c>
      <c r="I22" s="7">
        <v>63153</v>
      </c>
      <c r="J22" s="7">
        <v>258166</v>
      </c>
      <c r="K22" s="7">
        <v>51129</v>
      </c>
      <c r="L22" s="7">
        <v>1303229</v>
      </c>
    </row>
    <row r="23" spans="1:12" x14ac:dyDescent="0.35">
      <c r="A23" t="s">
        <v>80</v>
      </c>
      <c r="B23" s="7">
        <v>37273</v>
      </c>
      <c r="C23" s="7">
        <v>12</v>
      </c>
      <c r="D23" s="7">
        <v>49156</v>
      </c>
      <c r="E23" s="7">
        <v>99371</v>
      </c>
      <c r="F23" s="7"/>
      <c r="G23" s="7"/>
      <c r="H23" s="7">
        <v>136</v>
      </c>
      <c r="I23" s="7">
        <v>19255</v>
      </c>
      <c r="J23" s="7">
        <v>105789</v>
      </c>
      <c r="K23" s="7">
        <v>16194</v>
      </c>
      <c r="L23" s="7">
        <v>327185</v>
      </c>
    </row>
    <row r="24" spans="1:12" x14ac:dyDescent="0.35">
      <c r="A24" t="s">
        <v>82</v>
      </c>
      <c r="B24" s="7">
        <v>8</v>
      </c>
      <c r="C24" s="7"/>
      <c r="D24" s="7">
        <v>325843</v>
      </c>
      <c r="E24" s="7">
        <v>2604</v>
      </c>
      <c r="F24" s="7"/>
      <c r="G24" s="7"/>
      <c r="H24" s="7"/>
      <c r="I24" s="7">
        <v>3218</v>
      </c>
      <c r="J24" s="7">
        <v>5682</v>
      </c>
      <c r="K24" s="7"/>
      <c r="L24" s="7">
        <v>337355</v>
      </c>
    </row>
    <row r="25" spans="1:12" x14ac:dyDescent="0.35">
      <c r="A25" t="s">
        <v>86</v>
      </c>
      <c r="B25" s="7">
        <v>11887</v>
      </c>
      <c r="C25" s="7"/>
      <c r="D25" s="7">
        <v>59683</v>
      </c>
      <c r="E25" s="7">
        <v>121657</v>
      </c>
      <c r="F25" s="7"/>
      <c r="G25" s="7"/>
      <c r="H25" s="7">
        <v>1835</v>
      </c>
      <c r="I25" s="7">
        <v>36457</v>
      </c>
      <c r="J25" s="7">
        <v>73815</v>
      </c>
      <c r="K25" s="7">
        <v>20699</v>
      </c>
      <c r="L25" s="7">
        <v>326032</v>
      </c>
    </row>
    <row r="26" spans="1:12" x14ac:dyDescent="0.35">
      <c r="A26" t="s">
        <v>88</v>
      </c>
      <c r="B26" s="7">
        <v>1400</v>
      </c>
      <c r="C26" s="7"/>
      <c r="D26" s="7">
        <v>23955</v>
      </c>
      <c r="E26" s="7">
        <v>45250</v>
      </c>
      <c r="F26" s="7"/>
      <c r="G26" s="7"/>
      <c r="H26" s="7">
        <v>396</v>
      </c>
      <c r="I26" s="7">
        <v>2638</v>
      </c>
      <c r="J26" s="7">
        <v>68335</v>
      </c>
      <c r="K26" s="7">
        <v>9679</v>
      </c>
      <c r="L26" s="7">
        <v>151652</v>
      </c>
    </row>
    <row r="27" spans="1:12" x14ac:dyDescent="0.35">
      <c r="A27" t="s">
        <v>90</v>
      </c>
      <c r="B27" s="7">
        <v>1072</v>
      </c>
      <c r="C27" s="7"/>
      <c r="D27" s="7">
        <v>19262</v>
      </c>
      <c r="E27" s="7">
        <v>4333</v>
      </c>
      <c r="F27" s="7"/>
      <c r="G27" s="7"/>
      <c r="H27" s="7">
        <v>61</v>
      </c>
      <c r="I27" s="7">
        <v>1578</v>
      </c>
      <c r="J27" s="7">
        <v>4287</v>
      </c>
      <c r="K27" s="7">
        <v>352</v>
      </c>
      <c r="L27" s="7">
        <v>30945</v>
      </c>
    </row>
    <row r="28" spans="1:12" x14ac:dyDescent="0.35">
      <c r="A28" t="s">
        <v>92</v>
      </c>
      <c r="B28" s="7"/>
      <c r="C28" s="7"/>
      <c r="D28" s="7">
        <v>1998</v>
      </c>
      <c r="E28" s="7"/>
      <c r="F28" s="7"/>
      <c r="G28" s="7"/>
      <c r="H28" s="7">
        <v>80</v>
      </c>
      <c r="I28" s="7"/>
      <c r="J28" s="7">
        <v>48</v>
      </c>
      <c r="K28" s="7">
        <v>5</v>
      </c>
      <c r="L28" s="7">
        <v>2130</v>
      </c>
    </row>
    <row r="29" spans="1:12" x14ac:dyDescent="0.35">
      <c r="A29" t="s">
        <v>94</v>
      </c>
      <c r="B29" s="7">
        <v>112</v>
      </c>
      <c r="C29" s="7"/>
      <c r="D29" s="7">
        <v>2566</v>
      </c>
      <c r="E29" s="7">
        <v>1857</v>
      </c>
      <c r="F29" s="7"/>
      <c r="G29" s="7"/>
      <c r="H29" s="7">
        <v>30</v>
      </c>
      <c r="I29" s="7">
        <v>7</v>
      </c>
      <c r="J29" s="7">
        <v>211</v>
      </c>
      <c r="K29" s="7">
        <v>4200</v>
      </c>
      <c r="L29" s="7">
        <v>8984</v>
      </c>
    </row>
    <row r="30" spans="1:12" x14ac:dyDescent="0.35">
      <c r="A30" t="s">
        <v>236</v>
      </c>
      <c r="B30" s="7">
        <v>1639</v>
      </c>
      <c r="C30" s="7">
        <v>3359</v>
      </c>
      <c r="D30" s="7">
        <v>100012</v>
      </c>
      <c r="E30" s="7">
        <v>13937</v>
      </c>
      <c r="F30" s="7"/>
      <c r="G30" s="7"/>
      <c r="H30" s="7"/>
      <c r="I30" s="7"/>
      <c r="J30" s="7"/>
      <c r="K30" s="7"/>
      <c r="L30" s="7">
        <v>118946</v>
      </c>
    </row>
    <row r="32" spans="1:12" x14ac:dyDescent="0.35">
      <c r="B32" s="7">
        <f>SUM(B9,B10:B21,B22*-1)</f>
        <v>1</v>
      </c>
      <c r="C32" s="7">
        <f t="shared" ref="C32:L32" si="0">SUM(C9,C10:C21,C22*-1)</f>
        <v>1</v>
      </c>
      <c r="D32" s="7">
        <f t="shared" si="0"/>
        <v>0</v>
      </c>
      <c r="E32" s="7">
        <f t="shared" si="0"/>
        <v>0</v>
      </c>
      <c r="F32" s="7">
        <f t="shared" si="0"/>
        <v>0</v>
      </c>
      <c r="G32" s="7">
        <f t="shared" si="0"/>
        <v>0</v>
      </c>
      <c r="H32" s="7">
        <f t="shared" si="0"/>
        <v>1</v>
      </c>
      <c r="I32" s="7">
        <f t="shared" si="0"/>
        <v>1</v>
      </c>
      <c r="J32" s="7">
        <f t="shared" si="0"/>
        <v>0</v>
      </c>
      <c r="K32" s="7">
        <f t="shared" si="0"/>
        <v>-2</v>
      </c>
      <c r="L32" s="7">
        <f t="shared" si="0"/>
        <v>0</v>
      </c>
    </row>
  </sheetData>
  <pageMargins left="0.7" right="0.7" top="0.75" bottom="0.75" header="0.3" footer="0.3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 codeName="Ark66"/>
  <dimension ref="A1:L32"/>
  <sheetViews>
    <sheetView workbookViewId="0">
      <selection activeCell="B38" sqref="B38"/>
    </sheetView>
  </sheetViews>
  <sheetFormatPr defaultRowHeight="14.5" x14ac:dyDescent="0.35"/>
  <cols>
    <col min="1" max="1" width="30" customWidth="1"/>
    <col min="2" max="2" width="11.54296875" customWidth="1"/>
    <col min="3" max="3" width="12" customWidth="1"/>
    <col min="4" max="4" width="14.54296875" customWidth="1"/>
    <col min="5" max="5" width="14.1796875" customWidth="1"/>
    <col min="8" max="8" width="22.81640625" customWidth="1"/>
    <col min="9" max="9" width="21.81640625" customWidth="1"/>
    <col min="10" max="10" width="13.81640625" customWidth="1"/>
    <col min="11" max="11" width="12.26953125" customWidth="1"/>
    <col min="12" max="12" width="11.81640625" customWidth="1"/>
  </cols>
  <sheetData>
    <row r="1" spans="1:12" x14ac:dyDescent="0.35">
      <c r="B1" t="s">
        <v>214</v>
      </c>
      <c r="C1" t="s">
        <v>2</v>
      </c>
      <c r="D1" t="s">
        <v>215</v>
      </c>
      <c r="E1" t="s">
        <v>216</v>
      </c>
      <c r="F1" t="s">
        <v>5</v>
      </c>
      <c r="G1" t="s">
        <v>6</v>
      </c>
      <c r="H1" t="s">
        <v>217</v>
      </c>
      <c r="I1" t="s">
        <v>8</v>
      </c>
      <c r="J1" t="s">
        <v>9</v>
      </c>
      <c r="K1" t="s">
        <v>10</v>
      </c>
      <c r="L1" t="s">
        <v>218</v>
      </c>
    </row>
    <row r="2" spans="1:12" x14ac:dyDescent="0.35">
      <c r="B2" t="s">
        <v>219</v>
      </c>
      <c r="C2" t="s">
        <v>219</v>
      </c>
      <c r="D2" t="s">
        <v>219</v>
      </c>
      <c r="E2" t="s">
        <v>219</v>
      </c>
      <c r="F2" t="s">
        <v>219</v>
      </c>
      <c r="G2" t="s">
        <v>219</v>
      </c>
      <c r="H2" t="s">
        <v>219</v>
      </c>
      <c r="I2" t="s">
        <v>219</v>
      </c>
      <c r="J2" t="s">
        <v>219</v>
      </c>
      <c r="K2" t="s">
        <v>219</v>
      </c>
      <c r="L2" t="s">
        <v>219</v>
      </c>
    </row>
    <row r="3" spans="1:12" x14ac:dyDescent="0.35">
      <c r="A3" t="s">
        <v>17</v>
      </c>
      <c r="B3" s="7">
        <v>172254</v>
      </c>
      <c r="C3" s="7">
        <v>195835</v>
      </c>
      <c r="D3" s="7"/>
      <c r="E3" s="7">
        <v>243680</v>
      </c>
      <c r="F3" s="7">
        <v>238820</v>
      </c>
      <c r="G3" s="7">
        <v>48157</v>
      </c>
      <c r="H3" s="7">
        <v>28535</v>
      </c>
      <c r="I3" s="7">
        <v>130223</v>
      </c>
      <c r="J3" s="7"/>
      <c r="K3" s="7">
        <v>730</v>
      </c>
      <c r="L3" s="7">
        <v>1058233</v>
      </c>
    </row>
    <row r="4" spans="1:12" x14ac:dyDescent="0.35">
      <c r="A4" t="s">
        <v>220</v>
      </c>
      <c r="B4" s="7">
        <v>142963</v>
      </c>
      <c r="C4" s="7">
        <v>611274</v>
      </c>
      <c r="D4" s="7">
        <v>336128</v>
      </c>
      <c r="E4" s="7">
        <v>396483</v>
      </c>
      <c r="F4" s="7"/>
      <c r="G4" s="7"/>
      <c r="H4" s="7"/>
      <c r="I4" s="7">
        <v>12699</v>
      </c>
      <c r="J4" s="7">
        <v>28680</v>
      </c>
      <c r="K4" s="7">
        <v>5</v>
      </c>
      <c r="L4" s="7">
        <v>1528231</v>
      </c>
    </row>
    <row r="5" spans="1:12" x14ac:dyDescent="0.35">
      <c r="A5" t="s">
        <v>221</v>
      </c>
      <c r="B5" s="7">
        <v>-22256</v>
      </c>
      <c r="C5" s="7">
        <v>-140885</v>
      </c>
      <c r="D5" s="7">
        <v>-305928</v>
      </c>
      <c r="E5" s="7">
        <v>-175867</v>
      </c>
      <c r="F5" s="7"/>
      <c r="G5" s="7"/>
      <c r="H5" s="7"/>
      <c r="I5" s="7">
        <v>-5782</v>
      </c>
      <c r="J5" s="7">
        <v>-26822</v>
      </c>
      <c r="K5" s="7">
        <v>-9</v>
      </c>
      <c r="L5" s="7">
        <v>-677549</v>
      </c>
    </row>
    <row r="6" spans="1:12" x14ac:dyDescent="0.35">
      <c r="A6" t="s">
        <v>222</v>
      </c>
      <c r="B6" s="7"/>
      <c r="C6" s="7"/>
      <c r="D6" s="7">
        <v>-48057</v>
      </c>
      <c r="E6" s="7"/>
      <c r="F6" s="7"/>
      <c r="G6" s="7"/>
      <c r="H6" s="7"/>
      <c r="I6" s="7"/>
      <c r="J6" s="7"/>
      <c r="K6" s="7"/>
      <c r="L6" s="7">
        <v>-48057</v>
      </c>
    </row>
    <row r="7" spans="1:12" x14ac:dyDescent="0.35">
      <c r="A7" t="s">
        <v>223</v>
      </c>
      <c r="B7" s="7"/>
      <c r="C7" s="7"/>
      <c r="D7" s="7">
        <v>-45076</v>
      </c>
      <c r="E7" s="7"/>
      <c r="F7" s="7"/>
      <c r="G7" s="7"/>
      <c r="H7" s="7"/>
      <c r="I7" s="7"/>
      <c r="J7" s="7"/>
      <c r="K7" s="7"/>
      <c r="L7" s="7">
        <v>-45076</v>
      </c>
    </row>
    <row r="8" spans="1:12" x14ac:dyDescent="0.35">
      <c r="A8" t="s">
        <v>224</v>
      </c>
      <c r="B8" s="7">
        <v>7774</v>
      </c>
      <c r="C8" s="7">
        <v>-293</v>
      </c>
      <c r="D8" s="7">
        <v>2801</v>
      </c>
      <c r="E8" s="7">
        <v>8307</v>
      </c>
      <c r="F8" s="7"/>
      <c r="G8" s="7"/>
      <c r="H8" s="7"/>
      <c r="I8" s="7">
        <v>119</v>
      </c>
      <c r="J8" s="7"/>
      <c r="K8" s="7"/>
      <c r="L8" s="7">
        <v>18707</v>
      </c>
    </row>
    <row r="9" spans="1:12" x14ac:dyDescent="0.35">
      <c r="A9" t="s">
        <v>225</v>
      </c>
      <c r="B9" s="7">
        <v>300735</v>
      </c>
      <c r="C9" s="7">
        <v>665930</v>
      </c>
      <c r="D9" s="7">
        <v>-60132</v>
      </c>
      <c r="E9" s="7">
        <v>472603</v>
      </c>
      <c r="F9" s="7">
        <v>238820</v>
      </c>
      <c r="G9" s="7">
        <v>48157</v>
      </c>
      <c r="H9" s="7">
        <v>28535</v>
      </c>
      <c r="I9" s="7">
        <v>137258</v>
      </c>
      <c r="J9" s="7">
        <v>1858</v>
      </c>
      <c r="K9" s="7">
        <v>726</v>
      </c>
      <c r="L9" s="7">
        <v>1834489</v>
      </c>
    </row>
    <row r="10" spans="1:12" x14ac:dyDescent="0.35">
      <c r="A10" t="s">
        <v>226</v>
      </c>
      <c r="B10" s="7"/>
      <c r="C10" s="7">
        <v>6018</v>
      </c>
      <c r="D10" s="7">
        <v>-2896</v>
      </c>
      <c r="E10" s="7"/>
      <c r="F10" s="7"/>
      <c r="G10" s="7"/>
      <c r="H10" s="7"/>
      <c r="I10" s="7"/>
      <c r="J10" s="7"/>
      <c r="K10" s="7"/>
      <c r="L10" s="7">
        <v>3122</v>
      </c>
    </row>
    <row r="11" spans="1:12" x14ac:dyDescent="0.35">
      <c r="A11" t="s">
        <v>227</v>
      </c>
      <c r="B11" s="7">
        <v>-1752</v>
      </c>
      <c r="C11" s="7">
        <v>1078</v>
      </c>
      <c r="D11" s="7">
        <v>-3852</v>
      </c>
      <c r="E11" s="7">
        <v>502</v>
      </c>
      <c r="F11" s="7"/>
      <c r="G11" s="7"/>
      <c r="H11" s="7">
        <v>2</v>
      </c>
      <c r="I11" s="7">
        <v>-126</v>
      </c>
      <c r="J11" s="7">
        <v>-201</v>
      </c>
      <c r="K11" s="7">
        <v>-56</v>
      </c>
      <c r="L11" s="7">
        <v>-4406</v>
      </c>
    </row>
    <row r="12" spans="1:12" x14ac:dyDescent="0.35">
      <c r="A12" t="s">
        <v>228</v>
      </c>
      <c r="B12" s="7">
        <v>-138376</v>
      </c>
      <c r="C12" s="7"/>
      <c r="D12" s="7">
        <v>-9972</v>
      </c>
      <c r="E12" s="7">
        <v>-89878</v>
      </c>
      <c r="F12" s="7">
        <v>-231954</v>
      </c>
      <c r="G12" s="7">
        <v>-48157</v>
      </c>
      <c r="H12" s="7">
        <v>-21874</v>
      </c>
      <c r="I12" s="7">
        <v>-17443</v>
      </c>
      <c r="J12" s="7">
        <v>247758</v>
      </c>
      <c r="K12" s="7">
        <v>-235</v>
      </c>
      <c r="L12" s="7">
        <v>-310130</v>
      </c>
    </row>
    <row r="13" spans="1:12" x14ac:dyDescent="0.35">
      <c r="A13" t="s">
        <v>66</v>
      </c>
      <c r="B13" s="7">
        <v>-69133</v>
      </c>
      <c r="C13" s="7"/>
      <c r="D13" s="7">
        <v>-10919</v>
      </c>
      <c r="E13" s="7">
        <v>-65497</v>
      </c>
      <c r="F13" s="7">
        <v>-6867</v>
      </c>
      <c r="G13" s="7"/>
      <c r="H13" s="7">
        <v>-1973</v>
      </c>
      <c r="I13" s="7">
        <v>-25116</v>
      </c>
      <c r="J13" s="7">
        <v>63877</v>
      </c>
      <c r="K13" s="7">
        <v>43754</v>
      </c>
      <c r="L13" s="7">
        <v>-71874</v>
      </c>
    </row>
    <row r="14" spans="1:12" x14ac:dyDescent="0.35">
      <c r="A14" t="s">
        <v>229</v>
      </c>
      <c r="B14" s="7">
        <v>-5433</v>
      </c>
      <c r="C14" s="7"/>
      <c r="D14" s="7">
        <v>-1662</v>
      </c>
      <c r="E14" s="7">
        <v>-8968</v>
      </c>
      <c r="F14" s="7"/>
      <c r="G14" s="7"/>
      <c r="H14" s="7">
        <v>-882</v>
      </c>
      <c r="I14" s="7">
        <v>-5749</v>
      </c>
      <c r="J14" s="7">
        <v>-251</v>
      </c>
      <c r="K14" s="7">
        <v>18432</v>
      </c>
      <c r="L14" s="7">
        <v>-4511</v>
      </c>
    </row>
    <row r="15" spans="1:12" x14ac:dyDescent="0.35">
      <c r="A15" t="s">
        <v>230</v>
      </c>
      <c r="B15" s="7">
        <v>-295</v>
      </c>
      <c r="C15" s="7"/>
      <c r="D15" s="7">
        <v>-174</v>
      </c>
      <c r="E15" s="7">
        <v>24</v>
      </c>
      <c r="F15" s="7"/>
      <c r="G15" s="7"/>
      <c r="H15" s="7"/>
      <c r="I15" s="7">
        <v>-13</v>
      </c>
      <c r="J15" s="7"/>
      <c r="K15" s="7"/>
      <c r="L15" s="7">
        <v>-458</v>
      </c>
    </row>
    <row r="16" spans="1:12" x14ac:dyDescent="0.35">
      <c r="A16" t="s">
        <v>70</v>
      </c>
      <c r="B16" s="7"/>
      <c r="C16" s="7">
        <v>-686729</v>
      </c>
      <c r="D16" s="7">
        <v>678575</v>
      </c>
      <c r="E16" s="7"/>
      <c r="F16" s="7"/>
      <c r="G16" s="7"/>
      <c r="H16" s="7"/>
      <c r="I16" s="7"/>
      <c r="J16" s="7"/>
      <c r="K16" s="7"/>
      <c r="L16" s="7">
        <v>-8154</v>
      </c>
    </row>
    <row r="17" spans="1:12" x14ac:dyDescent="0.35">
      <c r="A17" t="s">
        <v>231</v>
      </c>
      <c r="B17" s="7">
        <v>-21290</v>
      </c>
      <c r="C17" s="7"/>
      <c r="D17" s="7">
        <v>-1635</v>
      </c>
      <c r="E17" s="7">
        <v>-54</v>
      </c>
      <c r="F17" s="7"/>
      <c r="G17" s="7"/>
      <c r="H17" s="7"/>
      <c r="I17" s="7"/>
      <c r="J17" s="7"/>
      <c r="K17" s="7"/>
      <c r="L17" s="7">
        <v>-22979</v>
      </c>
    </row>
    <row r="18" spans="1:12" x14ac:dyDescent="0.35">
      <c r="A18" t="s">
        <v>232</v>
      </c>
      <c r="B18" s="7">
        <v>-791</v>
      </c>
      <c r="C18" s="7">
        <v>496</v>
      </c>
      <c r="D18" s="7"/>
      <c r="E18" s="7"/>
      <c r="F18" s="7"/>
      <c r="G18" s="7"/>
      <c r="H18" s="7"/>
      <c r="I18" s="7"/>
      <c r="J18" s="7"/>
      <c r="K18" s="7"/>
      <c r="L18" s="7">
        <v>-294</v>
      </c>
    </row>
    <row r="19" spans="1:12" x14ac:dyDescent="0.35">
      <c r="A19" t="s">
        <v>233</v>
      </c>
      <c r="B19" s="7">
        <v>-152</v>
      </c>
      <c r="C19" s="7">
        <v>16015</v>
      </c>
      <c r="D19" s="7">
        <v>-15827</v>
      </c>
      <c r="E19" s="7">
        <v>-1134</v>
      </c>
      <c r="F19" s="7"/>
      <c r="G19" s="7"/>
      <c r="H19" s="7"/>
      <c r="I19" s="7">
        <v>-133</v>
      </c>
      <c r="J19" s="7"/>
      <c r="K19" s="7">
        <v>-369</v>
      </c>
      <c r="L19" s="7">
        <v>-1600</v>
      </c>
    </row>
    <row r="20" spans="1:12" x14ac:dyDescent="0.35">
      <c r="A20" t="s">
        <v>234</v>
      </c>
      <c r="B20" s="7">
        <v>-7332</v>
      </c>
      <c r="C20" s="7"/>
      <c r="D20" s="7">
        <v>-36998</v>
      </c>
      <c r="E20" s="7">
        <v>-19623</v>
      </c>
      <c r="F20" s="7"/>
      <c r="G20" s="7"/>
      <c r="H20" s="7">
        <v>-1</v>
      </c>
      <c r="I20" s="7">
        <v>-689</v>
      </c>
      <c r="J20" s="7">
        <v>-25119</v>
      </c>
      <c r="K20" s="7">
        <v>-4435</v>
      </c>
      <c r="L20" s="7">
        <v>-94199</v>
      </c>
    </row>
    <row r="21" spans="1:12" x14ac:dyDescent="0.35">
      <c r="A21" t="s">
        <v>235</v>
      </c>
      <c r="B21" s="7">
        <v>-1132</v>
      </c>
      <c r="C21" s="7"/>
      <c r="D21" s="7">
        <v>-40</v>
      </c>
      <c r="E21" s="7">
        <v>-2627</v>
      </c>
      <c r="F21" s="7"/>
      <c r="G21" s="7"/>
      <c r="H21" s="7">
        <v>-9</v>
      </c>
      <c r="I21" s="7">
        <v>-123</v>
      </c>
      <c r="J21" s="7">
        <v>-20921</v>
      </c>
      <c r="K21" s="7">
        <v>-5187</v>
      </c>
      <c r="L21" s="7">
        <v>-30040</v>
      </c>
    </row>
    <row r="22" spans="1:12" x14ac:dyDescent="0.35">
      <c r="A22" t="s">
        <v>131</v>
      </c>
      <c r="B22" s="7">
        <v>55048</v>
      </c>
      <c r="C22" s="7">
        <v>2809</v>
      </c>
      <c r="D22" s="7">
        <v>534468</v>
      </c>
      <c r="E22" s="7">
        <v>285347</v>
      </c>
      <c r="F22" s="7"/>
      <c r="G22" s="7"/>
      <c r="H22" s="7">
        <v>3799</v>
      </c>
      <c r="I22" s="7">
        <v>87865</v>
      </c>
      <c r="J22" s="7">
        <v>267000</v>
      </c>
      <c r="K22" s="7">
        <v>52629</v>
      </c>
      <c r="L22" s="7">
        <v>1288965</v>
      </c>
    </row>
    <row r="23" spans="1:12" x14ac:dyDescent="0.35">
      <c r="A23" t="s">
        <v>80</v>
      </c>
      <c r="B23" s="7">
        <v>31043</v>
      </c>
      <c r="C23" s="7">
        <v>12</v>
      </c>
      <c r="D23" s="7">
        <v>37377</v>
      </c>
      <c r="E23" s="7">
        <v>88868</v>
      </c>
      <c r="F23" s="7"/>
      <c r="G23" s="7"/>
      <c r="H23" s="7">
        <v>156</v>
      </c>
      <c r="I23" s="7">
        <v>22620</v>
      </c>
      <c r="J23" s="7">
        <v>99164</v>
      </c>
      <c r="K23" s="7">
        <v>17210</v>
      </c>
      <c r="L23" s="7">
        <v>296449</v>
      </c>
    </row>
    <row r="24" spans="1:12" x14ac:dyDescent="0.35">
      <c r="A24" t="s">
        <v>82</v>
      </c>
      <c r="B24" s="7">
        <v>14</v>
      </c>
      <c r="C24" s="7"/>
      <c r="D24" s="7">
        <v>313588</v>
      </c>
      <c r="E24" s="7">
        <v>2767</v>
      </c>
      <c r="F24" s="7"/>
      <c r="G24" s="7"/>
      <c r="H24" s="7"/>
      <c r="I24" s="7">
        <v>13145</v>
      </c>
      <c r="J24" s="7">
        <v>5378</v>
      </c>
      <c r="K24" s="7"/>
      <c r="L24" s="7">
        <v>334892</v>
      </c>
    </row>
    <row r="25" spans="1:12" x14ac:dyDescent="0.35">
      <c r="A25" t="s">
        <v>86</v>
      </c>
      <c r="B25" s="7">
        <v>15342</v>
      </c>
      <c r="C25" s="7"/>
      <c r="D25" s="7">
        <v>47415</v>
      </c>
      <c r="E25" s="7">
        <v>125455</v>
      </c>
      <c r="F25" s="7"/>
      <c r="G25" s="7"/>
      <c r="H25" s="7">
        <v>3050</v>
      </c>
      <c r="I25" s="7">
        <v>45676</v>
      </c>
      <c r="J25" s="7">
        <v>79034</v>
      </c>
      <c r="K25" s="7">
        <v>22657</v>
      </c>
      <c r="L25" s="7">
        <v>338628</v>
      </c>
    </row>
    <row r="26" spans="1:12" x14ac:dyDescent="0.35">
      <c r="A26" t="s">
        <v>88</v>
      </c>
      <c r="B26" s="7">
        <v>5670</v>
      </c>
      <c r="C26" s="7"/>
      <c r="D26" s="7">
        <v>19446</v>
      </c>
      <c r="E26" s="7">
        <v>48384</v>
      </c>
      <c r="F26" s="7"/>
      <c r="G26" s="7"/>
      <c r="H26" s="7">
        <v>472</v>
      </c>
      <c r="I26" s="7">
        <v>4149</v>
      </c>
      <c r="J26" s="7">
        <v>77762</v>
      </c>
      <c r="K26" s="7">
        <v>12336</v>
      </c>
      <c r="L26" s="7">
        <v>168219</v>
      </c>
    </row>
    <row r="27" spans="1:12" x14ac:dyDescent="0.35">
      <c r="A27" t="s">
        <v>90</v>
      </c>
      <c r="B27" s="7">
        <v>1308</v>
      </c>
      <c r="C27" s="7"/>
      <c r="D27" s="7">
        <v>17823</v>
      </c>
      <c r="E27" s="7">
        <v>4374</v>
      </c>
      <c r="F27" s="7"/>
      <c r="G27" s="7"/>
      <c r="H27" s="7">
        <v>66</v>
      </c>
      <c r="I27" s="7">
        <v>2268</v>
      </c>
      <c r="J27" s="7">
        <v>4888</v>
      </c>
      <c r="K27" s="7">
        <v>279</v>
      </c>
      <c r="L27" s="7">
        <v>31006</v>
      </c>
    </row>
    <row r="28" spans="1:12" x14ac:dyDescent="0.35">
      <c r="A28" t="s">
        <v>92</v>
      </c>
      <c r="B28" s="7"/>
      <c r="C28" s="7"/>
      <c r="D28" s="7">
        <v>1819</v>
      </c>
      <c r="E28" s="7">
        <v>4</v>
      </c>
      <c r="F28" s="7"/>
      <c r="G28" s="7"/>
      <c r="H28" s="7">
        <v>56</v>
      </c>
      <c r="I28" s="7">
        <v>4</v>
      </c>
      <c r="J28" s="7">
        <v>145</v>
      </c>
      <c r="K28" s="7">
        <v>4</v>
      </c>
      <c r="L28" s="7">
        <v>2033</v>
      </c>
    </row>
    <row r="29" spans="1:12" x14ac:dyDescent="0.35">
      <c r="A29" t="s">
        <v>94</v>
      </c>
      <c r="B29" s="7">
        <v>106</v>
      </c>
      <c r="C29" s="7"/>
      <c r="D29" s="7">
        <v>1970</v>
      </c>
      <c r="E29" s="7">
        <v>1927</v>
      </c>
      <c r="F29" s="7"/>
      <c r="G29" s="7"/>
      <c r="H29" s="7">
        <v>1</v>
      </c>
      <c r="I29" s="7">
        <v>3</v>
      </c>
      <c r="J29" s="7">
        <v>628</v>
      </c>
      <c r="K29" s="7">
        <v>142</v>
      </c>
      <c r="L29" s="7">
        <v>4777</v>
      </c>
    </row>
    <row r="30" spans="1:12" x14ac:dyDescent="0.35">
      <c r="A30" t="s">
        <v>236</v>
      </c>
      <c r="B30" s="7">
        <v>1566</v>
      </c>
      <c r="C30" s="7">
        <v>2797</v>
      </c>
      <c r="D30" s="7">
        <v>95030</v>
      </c>
      <c r="E30" s="7">
        <v>13569</v>
      </c>
      <c r="F30" s="7"/>
      <c r="G30" s="7"/>
      <c r="H30" s="7"/>
      <c r="I30" s="7"/>
      <c r="J30" s="7"/>
      <c r="K30" s="7"/>
      <c r="L30" s="7">
        <v>112961</v>
      </c>
    </row>
    <row r="32" spans="1:12" x14ac:dyDescent="0.35">
      <c r="B32" s="7">
        <f>SUM(B9,B10:B21,B22*-1)</f>
        <v>1</v>
      </c>
      <c r="C32" s="7">
        <f t="shared" ref="C32:L32" si="0">SUM(C9,C10:C21,C22*-1)</f>
        <v>-1</v>
      </c>
      <c r="D32" s="7">
        <f t="shared" si="0"/>
        <v>0</v>
      </c>
      <c r="E32" s="7">
        <f t="shared" si="0"/>
        <v>1</v>
      </c>
      <c r="F32" s="7">
        <f t="shared" si="0"/>
        <v>-1</v>
      </c>
      <c r="G32" s="7">
        <f t="shared" si="0"/>
        <v>0</v>
      </c>
      <c r="H32" s="7">
        <f t="shared" si="0"/>
        <v>-1</v>
      </c>
      <c r="I32" s="7">
        <f t="shared" si="0"/>
        <v>1</v>
      </c>
      <c r="J32" s="7">
        <f t="shared" si="0"/>
        <v>1</v>
      </c>
      <c r="K32" s="7">
        <f t="shared" si="0"/>
        <v>1</v>
      </c>
      <c r="L32" s="7">
        <f t="shared" si="0"/>
        <v>1</v>
      </c>
    </row>
  </sheetData>
  <pageMargins left="0.7" right="0.7" top="0.75" bottom="0.75" header="0.3" footer="0.3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 codeName="Ark67"/>
  <dimension ref="A1:L32"/>
  <sheetViews>
    <sheetView workbookViewId="0">
      <selection activeCell="C37" sqref="C37"/>
    </sheetView>
  </sheetViews>
  <sheetFormatPr defaultRowHeight="14.5" x14ac:dyDescent="0.35"/>
  <cols>
    <col min="1" max="1" width="30" customWidth="1"/>
    <col min="2" max="2" width="11.54296875" customWidth="1"/>
    <col min="3" max="3" width="12" customWidth="1"/>
    <col min="4" max="4" width="14.54296875" customWidth="1"/>
    <col min="5" max="5" width="14.1796875" customWidth="1"/>
    <col min="8" max="8" width="22.81640625" customWidth="1"/>
    <col min="9" max="9" width="21.81640625" customWidth="1"/>
    <col min="10" max="10" width="13.81640625" customWidth="1"/>
    <col min="11" max="11" width="12.26953125" customWidth="1"/>
    <col min="12" max="12" width="11.81640625" customWidth="1"/>
  </cols>
  <sheetData>
    <row r="1" spans="1:12" x14ac:dyDescent="0.35">
      <c r="B1" t="s">
        <v>214</v>
      </c>
      <c r="C1" t="s">
        <v>2</v>
      </c>
      <c r="D1" t="s">
        <v>215</v>
      </c>
      <c r="E1" t="s">
        <v>216</v>
      </c>
      <c r="F1" t="s">
        <v>5</v>
      </c>
      <c r="G1" t="s">
        <v>6</v>
      </c>
      <c r="H1" t="s">
        <v>217</v>
      </c>
      <c r="I1" t="s">
        <v>8</v>
      </c>
      <c r="J1" t="s">
        <v>9</v>
      </c>
      <c r="K1" t="s">
        <v>10</v>
      </c>
      <c r="L1" t="s">
        <v>218</v>
      </c>
    </row>
    <row r="2" spans="1:12" x14ac:dyDescent="0.35">
      <c r="B2" t="s">
        <v>219</v>
      </c>
      <c r="C2" t="s">
        <v>219</v>
      </c>
      <c r="D2" t="s">
        <v>219</v>
      </c>
      <c r="E2" t="s">
        <v>219</v>
      </c>
      <c r="F2" t="s">
        <v>219</v>
      </c>
      <c r="G2" t="s">
        <v>219</v>
      </c>
      <c r="H2" t="s">
        <v>219</v>
      </c>
      <c r="I2" t="s">
        <v>219</v>
      </c>
      <c r="J2" t="s">
        <v>219</v>
      </c>
      <c r="K2" t="s">
        <v>219</v>
      </c>
      <c r="L2" t="s">
        <v>219</v>
      </c>
    </row>
    <row r="3" spans="1:12" x14ac:dyDescent="0.35">
      <c r="A3" t="s">
        <v>17</v>
      </c>
      <c r="B3" s="7">
        <v>148325</v>
      </c>
      <c r="C3" s="7">
        <v>163977</v>
      </c>
      <c r="D3" s="7"/>
      <c r="E3" s="7">
        <v>200155</v>
      </c>
      <c r="F3" s="7">
        <v>222388</v>
      </c>
      <c r="G3" s="7">
        <v>49020</v>
      </c>
      <c r="H3" s="7">
        <v>55644</v>
      </c>
      <c r="I3" s="7">
        <v>144371</v>
      </c>
      <c r="J3" s="7"/>
      <c r="K3" s="7">
        <v>1031</v>
      </c>
      <c r="L3" s="7">
        <v>984911</v>
      </c>
    </row>
    <row r="4" spans="1:12" x14ac:dyDescent="0.35">
      <c r="A4" t="s">
        <v>220</v>
      </c>
      <c r="B4" s="7">
        <v>148371</v>
      </c>
      <c r="C4" s="7">
        <v>615409</v>
      </c>
      <c r="D4" s="7">
        <v>365835</v>
      </c>
      <c r="E4" s="7">
        <v>383500</v>
      </c>
      <c r="F4" s="7"/>
      <c r="G4" s="7"/>
      <c r="H4" s="7"/>
      <c r="I4" s="7">
        <v>17554</v>
      </c>
      <c r="J4" s="7">
        <v>37505</v>
      </c>
      <c r="K4" s="7">
        <v>6</v>
      </c>
      <c r="L4" s="7">
        <v>1568181</v>
      </c>
    </row>
    <row r="5" spans="1:12" x14ac:dyDescent="0.35">
      <c r="A5" t="s">
        <v>221</v>
      </c>
      <c r="B5" s="7">
        <v>-18313</v>
      </c>
      <c r="C5" s="7">
        <v>-118518</v>
      </c>
      <c r="D5" s="7">
        <v>-365015</v>
      </c>
      <c r="E5" s="7">
        <v>-194328</v>
      </c>
      <c r="F5" s="7"/>
      <c r="G5" s="7"/>
      <c r="H5" s="7"/>
      <c r="I5" s="7">
        <v>-10388</v>
      </c>
      <c r="J5" s="7">
        <v>-36460</v>
      </c>
      <c r="K5" s="7">
        <v>-5</v>
      </c>
      <c r="L5" s="7">
        <v>-743027</v>
      </c>
    </row>
    <row r="6" spans="1:12" x14ac:dyDescent="0.35">
      <c r="A6" t="s">
        <v>222</v>
      </c>
      <c r="B6" s="7"/>
      <c r="C6" s="7"/>
      <c r="D6" s="7">
        <v>-40678</v>
      </c>
      <c r="E6" s="7">
        <v>-35</v>
      </c>
      <c r="F6" s="7"/>
      <c r="G6" s="7"/>
      <c r="H6" s="7"/>
      <c r="I6" s="7"/>
      <c r="J6" s="7"/>
      <c r="K6" s="7"/>
      <c r="L6" s="7">
        <v>-40713</v>
      </c>
    </row>
    <row r="7" spans="1:12" x14ac:dyDescent="0.35">
      <c r="A7" t="s">
        <v>223</v>
      </c>
      <c r="B7" s="7"/>
      <c r="C7" s="7"/>
      <c r="D7" s="7">
        <v>-50295</v>
      </c>
      <c r="E7" s="7"/>
      <c r="F7" s="7"/>
      <c r="G7" s="7"/>
      <c r="H7" s="7"/>
      <c r="I7" s="7"/>
      <c r="J7" s="7"/>
      <c r="K7" s="7"/>
      <c r="L7" s="7">
        <v>-50295</v>
      </c>
    </row>
    <row r="8" spans="1:12" x14ac:dyDescent="0.35">
      <c r="A8" t="s">
        <v>224</v>
      </c>
      <c r="B8" s="7">
        <v>7734</v>
      </c>
      <c r="C8" s="7">
        <v>-5089</v>
      </c>
      <c r="D8" s="7">
        <v>-8690</v>
      </c>
      <c r="E8" s="7">
        <v>3367</v>
      </c>
      <c r="F8" s="7"/>
      <c r="G8" s="7"/>
      <c r="H8" s="7"/>
      <c r="I8" s="7">
        <v>63</v>
      </c>
      <c r="J8" s="7"/>
      <c r="K8" s="7"/>
      <c r="L8" s="7">
        <v>-2614</v>
      </c>
    </row>
    <row r="9" spans="1:12" x14ac:dyDescent="0.35">
      <c r="A9" t="s">
        <v>225</v>
      </c>
      <c r="B9" s="7">
        <v>286118</v>
      </c>
      <c r="C9" s="7">
        <v>655780</v>
      </c>
      <c r="D9" s="7">
        <v>-98843</v>
      </c>
      <c r="E9" s="7">
        <v>392659</v>
      </c>
      <c r="F9" s="7">
        <v>222388</v>
      </c>
      <c r="G9" s="7">
        <v>49020</v>
      </c>
      <c r="H9" s="7">
        <v>55644</v>
      </c>
      <c r="I9" s="7">
        <v>151601</v>
      </c>
      <c r="J9" s="7">
        <v>1045</v>
      </c>
      <c r="K9" s="7">
        <v>1032</v>
      </c>
      <c r="L9" s="7">
        <v>1716442</v>
      </c>
    </row>
    <row r="10" spans="1:12" x14ac:dyDescent="0.35">
      <c r="A10" t="s">
        <v>226</v>
      </c>
      <c r="B10" s="7"/>
      <c r="C10" s="7">
        <v>3209</v>
      </c>
      <c r="D10" s="7">
        <v>165</v>
      </c>
      <c r="E10" s="7"/>
      <c r="F10" s="7"/>
      <c r="G10" s="7"/>
      <c r="H10" s="7"/>
      <c r="I10" s="7"/>
      <c r="J10" s="7"/>
      <c r="K10" s="7"/>
      <c r="L10" s="7">
        <v>3375</v>
      </c>
    </row>
    <row r="11" spans="1:12" x14ac:dyDescent="0.35">
      <c r="A11" t="s">
        <v>227</v>
      </c>
      <c r="B11" s="7">
        <v>-1314</v>
      </c>
      <c r="C11" s="7">
        <v>-319</v>
      </c>
      <c r="D11" s="7">
        <v>-1757</v>
      </c>
      <c r="E11" s="7">
        <v>3222</v>
      </c>
      <c r="F11" s="7"/>
      <c r="G11" s="7"/>
      <c r="H11" s="7">
        <v>-24</v>
      </c>
      <c r="I11" s="7">
        <v>18</v>
      </c>
      <c r="J11" s="7">
        <v>-1005</v>
      </c>
      <c r="K11" s="7">
        <v>61</v>
      </c>
      <c r="L11" s="7">
        <v>-1118</v>
      </c>
    </row>
    <row r="12" spans="1:12" x14ac:dyDescent="0.35">
      <c r="A12" t="s">
        <v>228</v>
      </c>
      <c r="B12" s="7">
        <v>-140448</v>
      </c>
      <c r="C12" s="7"/>
      <c r="D12" s="7">
        <v>-7971</v>
      </c>
      <c r="E12" s="7">
        <v>-52603</v>
      </c>
      <c r="F12" s="7">
        <v>-215312</v>
      </c>
      <c r="G12" s="7">
        <v>-49020</v>
      </c>
      <c r="H12" s="7">
        <v>-46429</v>
      </c>
      <c r="I12" s="7">
        <v>-22101</v>
      </c>
      <c r="J12" s="7">
        <v>249366</v>
      </c>
      <c r="K12" s="7">
        <v>-457</v>
      </c>
      <c r="L12" s="7">
        <v>-284974</v>
      </c>
    </row>
    <row r="13" spans="1:12" x14ac:dyDescent="0.35">
      <c r="A13" t="s">
        <v>66</v>
      </c>
      <c r="B13" s="7">
        <v>-60732</v>
      </c>
      <c r="C13" s="7"/>
      <c r="D13" s="7">
        <v>-7520</v>
      </c>
      <c r="E13" s="7">
        <v>-49834</v>
      </c>
      <c r="F13" s="7">
        <v>-7076</v>
      </c>
      <c r="G13" s="7"/>
      <c r="H13" s="7">
        <v>-2654</v>
      </c>
      <c r="I13" s="7">
        <v>-34054</v>
      </c>
      <c r="J13" s="7">
        <v>58035</v>
      </c>
      <c r="K13" s="7">
        <v>38484</v>
      </c>
      <c r="L13" s="7">
        <v>-65352</v>
      </c>
    </row>
    <row r="14" spans="1:12" x14ac:dyDescent="0.35">
      <c r="A14" t="s">
        <v>229</v>
      </c>
      <c r="B14" s="7">
        <v>-3619</v>
      </c>
      <c r="C14" s="7"/>
      <c r="D14" s="7">
        <v>-892</v>
      </c>
      <c r="E14" s="7">
        <v>-8132</v>
      </c>
      <c r="F14" s="7"/>
      <c r="G14" s="7"/>
      <c r="H14" s="7">
        <v>-1185</v>
      </c>
      <c r="I14" s="7">
        <v>-6490</v>
      </c>
      <c r="J14" s="7">
        <v>-287</v>
      </c>
      <c r="K14" s="7">
        <v>16766</v>
      </c>
      <c r="L14" s="7">
        <v>-3838</v>
      </c>
    </row>
    <row r="15" spans="1:12" x14ac:dyDescent="0.35">
      <c r="A15" t="s">
        <v>230</v>
      </c>
      <c r="B15" s="7">
        <v>-239</v>
      </c>
      <c r="C15" s="7"/>
      <c r="D15" s="7">
        <v>-131</v>
      </c>
      <c r="E15" s="7">
        <v>221</v>
      </c>
      <c r="F15" s="7"/>
      <c r="G15" s="7"/>
      <c r="H15" s="7"/>
      <c r="I15" s="7">
        <v>-206</v>
      </c>
      <c r="J15" s="7"/>
      <c r="K15" s="7"/>
      <c r="L15" s="7">
        <v>-355</v>
      </c>
    </row>
    <row r="16" spans="1:12" x14ac:dyDescent="0.35">
      <c r="A16" t="s">
        <v>70</v>
      </c>
      <c r="B16" s="7"/>
      <c r="C16" s="7">
        <v>-675861</v>
      </c>
      <c r="D16" s="7">
        <v>669952</v>
      </c>
      <c r="E16" s="7"/>
      <c r="F16" s="7"/>
      <c r="G16" s="7"/>
      <c r="H16" s="7"/>
      <c r="I16" s="7"/>
      <c r="J16" s="7"/>
      <c r="K16" s="7"/>
      <c r="L16" s="7">
        <v>-5909</v>
      </c>
    </row>
    <row r="17" spans="1:12" x14ac:dyDescent="0.35">
      <c r="A17" t="s">
        <v>231</v>
      </c>
      <c r="B17" s="7">
        <v>-22965</v>
      </c>
      <c r="C17" s="7"/>
      <c r="D17" s="7">
        <v>-731</v>
      </c>
      <c r="E17" s="7">
        <v>-64</v>
      </c>
      <c r="F17" s="7"/>
      <c r="G17" s="7"/>
      <c r="H17" s="7"/>
      <c r="I17" s="7"/>
      <c r="J17" s="7"/>
      <c r="K17" s="7"/>
      <c r="L17" s="7">
        <v>-23759</v>
      </c>
    </row>
    <row r="18" spans="1:12" x14ac:dyDescent="0.35">
      <c r="A18" t="s">
        <v>232</v>
      </c>
      <c r="B18" s="7">
        <v>-1291</v>
      </c>
      <c r="C18" s="7">
        <v>803</v>
      </c>
      <c r="D18" s="7"/>
      <c r="E18" s="7"/>
      <c r="F18" s="7"/>
      <c r="G18" s="7"/>
      <c r="H18" s="7"/>
      <c r="I18" s="7"/>
      <c r="J18" s="7"/>
      <c r="K18" s="7"/>
      <c r="L18" s="7">
        <v>-488</v>
      </c>
    </row>
    <row r="19" spans="1:12" x14ac:dyDescent="0.35">
      <c r="A19" t="s">
        <v>233</v>
      </c>
      <c r="B19" s="7">
        <v>-186</v>
      </c>
      <c r="C19" s="7">
        <v>18580</v>
      </c>
      <c r="D19" s="7">
        <v>-17343</v>
      </c>
      <c r="E19" s="7">
        <v>-1841</v>
      </c>
      <c r="F19" s="7"/>
      <c r="G19" s="7"/>
      <c r="H19" s="7"/>
      <c r="I19" s="7">
        <v>-141</v>
      </c>
      <c r="J19" s="7"/>
      <c r="K19" s="7">
        <v>-569</v>
      </c>
      <c r="L19" s="7">
        <v>-1499</v>
      </c>
    </row>
    <row r="20" spans="1:12" x14ac:dyDescent="0.35">
      <c r="A20" t="s">
        <v>234</v>
      </c>
      <c r="B20" s="7">
        <v>-7202</v>
      </c>
      <c r="C20" s="7"/>
      <c r="D20" s="7">
        <v>-33580</v>
      </c>
      <c r="E20" s="7">
        <v>-21620</v>
      </c>
      <c r="F20" s="7"/>
      <c r="G20" s="7"/>
      <c r="H20" s="7"/>
      <c r="I20" s="7">
        <v>-675</v>
      </c>
      <c r="J20" s="7">
        <v>-22665</v>
      </c>
      <c r="K20" s="7">
        <v>-4090</v>
      </c>
      <c r="L20" s="7">
        <v>-89833</v>
      </c>
    </row>
    <row r="21" spans="1:12" x14ac:dyDescent="0.35">
      <c r="A21" t="s">
        <v>235</v>
      </c>
      <c r="B21" s="7">
        <v>-1145</v>
      </c>
      <c r="C21" s="7"/>
      <c r="D21" s="7">
        <v>-23</v>
      </c>
      <c r="E21" s="7">
        <v>-1932</v>
      </c>
      <c r="F21" s="7"/>
      <c r="G21" s="7"/>
      <c r="H21" s="7">
        <v>-8</v>
      </c>
      <c r="I21" s="7">
        <v>-91</v>
      </c>
      <c r="J21" s="7">
        <v>-20973</v>
      </c>
      <c r="K21" s="7">
        <v>-4677</v>
      </c>
      <c r="L21" s="7">
        <v>-28850</v>
      </c>
    </row>
    <row r="22" spans="1:12" x14ac:dyDescent="0.35">
      <c r="A22" t="s">
        <v>131</v>
      </c>
      <c r="B22" s="7">
        <v>46978</v>
      </c>
      <c r="C22" s="7">
        <v>2191</v>
      </c>
      <c r="D22" s="7">
        <v>501325</v>
      </c>
      <c r="E22" s="7">
        <v>260076</v>
      </c>
      <c r="F22" s="7"/>
      <c r="G22" s="7"/>
      <c r="H22" s="7">
        <v>5343</v>
      </c>
      <c r="I22" s="7">
        <v>87862</v>
      </c>
      <c r="J22" s="7">
        <v>263515</v>
      </c>
      <c r="K22" s="7">
        <v>46550</v>
      </c>
      <c r="L22" s="7">
        <v>1213840</v>
      </c>
    </row>
    <row r="23" spans="1:12" x14ac:dyDescent="0.35">
      <c r="A23" t="s">
        <v>80</v>
      </c>
      <c r="B23" s="7">
        <v>28262</v>
      </c>
      <c r="C23" s="7"/>
      <c r="D23" s="7">
        <v>29610</v>
      </c>
      <c r="E23" s="7">
        <v>85310</v>
      </c>
      <c r="F23" s="7"/>
      <c r="G23" s="7"/>
      <c r="H23" s="7">
        <v>317</v>
      </c>
      <c r="I23" s="7">
        <v>25089</v>
      </c>
      <c r="J23" s="7">
        <v>99910</v>
      </c>
      <c r="K23" s="7">
        <v>16369</v>
      </c>
      <c r="L23" s="7">
        <v>284867</v>
      </c>
    </row>
    <row r="24" spans="1:12" x14ac:dyDescent="0.35">
      <c r="A24" t="s">
        <v>82</v>
      </c>
      <c r="B24" s="7">
        <v>10</v>
      </c>
      <c r="C24" s="7"/>
      <c r="D24" s="7">
        <v>314728</v>
      </c>
      <c r="E24" s="7">
        <v>3250</v>
      </c>
      <c r="F24" s="7"/>
      <c r="G24" s="7"/>
      <c r="H24" s="7"/>
      <c r="I24" s="7">
        <v>13845</v>
      </c>
      <c r="J24" s="7">
        <v>5538</v>
      </c>
      <c r="K24" s="7"/>
      <c r="L24" s="7">
        <v>337371</v>
      </c>
    </row>
    <row r="25" spans="1:12" x14ac:dyDescent="0.35">
      <c r="A25" t="s">
        <v>86</v>
      </c>
      <c r="B25" s="7">
        <v>10993</v>
      </c>
      <c r="C25" s="7"/>
      <c r="D25" s="7">
        <v>35936</v>
      </c>
      <c r="E25" s="7">
        <v>106142</v>
      </c>
      <c r="F25" s="7"/>
      <c r="G25" s="7"/>
      <c r="H25" s="7">
        <v>3776</v>
      </c>
      <c r="I25" s="7">
        <v>42313</v>
      </c>
      <c r="J25" s="7">
        <v>75094</v>
      </c>
      <c r="K25" s="7">
        <v>20707</v>
      </c>
      <c r="L25" s="7">
        <v>294962</v>
      </c>
    </row>
    <row r="26" spans="1:12" x14ac:dyDescent="0.35">
      <c r="A26" t="s">
        <v>88</v>
      </c>
      <c r="B26" s="7">
        <v>4881</v>
      </c>
      <c r="C26" s="7"/>
      <c r="D26" s="7">
        <v>17032</v>
      </c>
      <c r="E26" s="7">
        <v>46614</v>
      </c>
      <c r="F26" s="7"/>
      <c r="G26" s="7"/>
      <c r="H26" s="7">
        <v>479</v>
      </c>
      <c r="I26" s="7">
        <v>4060</v>
      </c>
      <c r="J26" s="7">
        <v>77366</v>
      </c>
      <c r="K26" s="7">
        <v>9072</v>
      </c>
      <c r="L26" s="7">
        <v>159504</v>
      </c>
    </row>
    <row r="27" spans="1:12" x14ac:dyDescent="0.35">
      <c r="A27" t="s">
        <v>90</v>
      </c>
      <c r="B27" s="7">
        <v>1004</v>
      </c>
      <c r="C27" s="7"/>
      <c r="D27" s="7">
        <v>15106</v>
      </c>
      <c r="E27" s="7">
        <v>3553</v>
      </c>
      <c r="F27" s="7"/>
      <c r="G27" s="7"/>
      <c r="H27" s="7">
        <v>726</v>
      </c>
      <c r="I27" s="7">
        <v>2539</v>
      </c>
      <c r="J27" s="7">
        <v>5195</v>
      </c>
      <c r="K27" s="7">
        <v>224</v>
      </c>
      <c r="L27" s="7">
        <v>28347</v>
      </c>
    </row>
    <row r="28" spans="1:12" x14ac:dyDescent="0.35">
      <c r="A28" t="s">
        <v>92</v>
      </c>
      <c r="B28" s="7"/>
      <c r="C28" s="7"/>
      <c r="D28" s="7">
        <v>1701</v>
      </c>
      <c r="E28" s="7">
        <v>51</v>
      </c>
      <c r="F28" s="7"/>
      <c r="G28" s="7"/>
      <c r="H28" s="7">
        <v>40</v>
      </c>
      <c r="I28" s="7">
        <v>14</v>
      </c>
      <c r="J28" s="7">
        <v>160</v>
      </c>
      <c r="K28" s="7">
        <v>22</v>
      </c>
      <c r="L28" s="7">
        <v>1988</v>
      </c>
    </row>
    <row r="29" spans="1:12" x14ac:dyDescent="0.35">
      <c r="A29" t="s">
        <v>94</v>
      </c>
      <c r="B29" s="7">
        <v>36</v>
      </c>
      <c r="C29" s="7"/>
      <c r="D29" s="7">
        <v>2069</v>
      </c>
      <c r="E29" s="7">
        <v>1065</v>
      </c>
      <c r="F29" s="7"/>
      <c r="G29" s="7"/>
      <c r="H29" s="7">
        <v>5</v>
      </c>
      <c r="I29" s="7">
        <v>3</v>
      </c>
      <c r="J29" s="7">
        <v>252</v>
      </c>
      <c r="K29" s="7">
        <v>156</v>
      </c>
      <c r="L29" s="7">
        <v>3586</v>
      </c>
    </row>
    <row r="30" spans="1:12" x14ac:dyDescent="0.35">
      <c r="A30" t="s">
        <v>236</v>
      </c>
      <c r="B30" s="7">
        <v>1790</v>
      </c>
      <c r="C30" s="7">
        <v>2191</v>
      </c>
      <c r="D30" s="7">
        <v>85144</v>
      </c>
      <c r="E30" s="7">
        <v>14090</v>
      </c>
      <c r="F30" s="7"/>
      <c r="G30" s="7"/>
      <c r="H30" s="7"/>
      <c r="I30" s="7"/>
      <c r="J30" s="7"/>
      <c r="K30" s="7"/>
      <c r="L30" s="7">
        <v>103215</v>
      </c>
    </row>
    <row r="32" spans="1:12" x14ac:dyDescent="0.35">
      <c r="B32" s="7">
        <f>SUM(B9,B10:B21,B22*-1)</f>
        <v>-1</v>
      </c>
      <c r="C32" s="7">
        <f t="shared" ref="C32:L32" si="0">SUM(C9,C10:C21,C22*-1)</f>
        <v>1</v>
      </c>
      <c r="D32" s="7">
        <f t="shared" si="0"/>
        <v>1</v>
      </c>
      <c r="E32" s="7">
        <f t="shared" si="0"/>
        <v>0</v>
      </c>
      <c r="F32" s="7">
        <f t="shared" si="0"/>
        <v>0</v>
      </c>
      <c r="G32" s="7">
        <f t="shared" si="0"/>
        <v>0</v>
      </c>
      <c r="H32" s="7">
        <f t="shared" si="0"/>
        <v>1</v>
      </c>
      <c r="I32" s="7">
        <f t="shared" si="0"/>
        <v>-1</v>
      </c>
      <c r="J32" s="7">
        <f t="shared" si="0"/>
        <v>1</v>
      </c>
      <c r="K32" s="7">
        <f t="shared" si="0"/>
        <v>0</v>
      </c>
      <c r="L32" s="7">
        <f t="shared" si="0"/>
        <v>2</v>
      </c>
    </row>
  </sheetData>
  <pageMargins left="0.7" right="0.7" top="0.75" bottom="0.75" header="0.3" footer="0.3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 codeName="Ark68"/>
  <dimension ref="A1:L32"/>
  <sheetViews>
    <sheetView workbookViewId="0">
      <selection activeCell="I36" sqref="I36"/>
    </sheetView>
  </sheetViews>
  <sheetFormatPr defaultRowHeight="14.5" x14ac:dyDescent="0.35"/>
  <cols>
    <col min="1" max="1" width="30" customWidth="1"/>
    <col min="2" max="2" width="11.54296875" customWidth="1"/>
    <col min="3" max="3" width="12" customWidth="1"/>
    <col min="4" max="4" width="14.54296875" customWidth="1"/>
    <col min="5" max="5" width="14.1796875" customWidth="1"/>
    <col min="8" max="8" width="22.81640625" customWidth="1"/>
    <col min="9" max="9" width="21.81640625" customWidth="1"/>
    <col min="10" max="10" width="13.81640625" customWidth="1"/>
    <col min="11" max="11" width="12.26953125" customWidth="1"/>
    <col min="12" max="12" width="11.81640625" customWidth="1"/>
  </cols>
  <sheetData>
    <row r="1" spans="1:12" x14ac:dyDescent="0.35">
      <c r="B1" t="s">
        <v>214</v>
      </c>
      <c r="C1" t="s">
        <v>2</v>
      </c>
      <c r="D1" t="s">
        <v>215</v>
      </c>
      <c r="E1" t="s">
        <v>216</v>
      </c>
      <c r="F1" t="s">
        <v>5</v>
      </c>
      <c r="G1" t="s">
        <v>6</v>
      </c>
      <c r="H1" t="s">
        <v>217</v>
      </c>
      <c r="I1" t="s">
        <v>8</v>
      </c>
      <c r="J1" t="s">
        <v>9</v>
      </c>
      <c r="K1" t="s">
        <v>10</v>
      </c>
      <c r="L1" t="s">
        <v>218</v>
      </c>
    </row>
    <row r="2" spans="1:12" x14ac:dyDescent="0.35">
      <c r="B2" t="s">
        <v>219</v>
      </c>
      <c r="C2" t="s">
        <v>219</v>
      </c>
      <c r="D2" t="s">
        <v>219</v>
      </c>
      <c r="E2" t="s">
        <v>219</v>
      </c>
      <c r="F2" t="s">
        <v>219</v>
      </c>
      <c r="G2" t="s">
        <v>219</v>
      </c>
      <c r="H2" t="s">
        <v>219</v>
      </c>
      <c r="I2" t="s">
        <v>219</v>
      </c>
      <c r="J2" t="s">
        <v>219</v>
      </c>
      <c r="K2" t="s">
        <v>219</v>
      </c>
      <c r="L2" t="s">
        <v>219</v>
      </c>
    </row>
    <row r="3" spans="1:12" x14ac:dyDescent="0.35">
      <c r="A3" t="s">
        <v>17</v>
      </c>
      <c r="B3" s="7">
        <v>133922</v>
      </c>
      <c r="C3" s="7">
        <v>162754</v>
      </c>
      <c r="D3" s="7"/>
      <c r="E3" s="7">
        <v>191170</v>
      </c>
      <c r="F3" s="7">
        <v>215079</v>
      </c>
      <c r="G3" s="7">
        <v>48742</v>
      </c>
      <c r="H3" s="7">
        <v>69919</v>
      </c>
      <c r="I3" s="7">
        <v>151624</v>
      </c>
      <c r="J3" s="7"/>
      <c r="K3" s="7">
        <v>1220</v>
      </c>
      <c r="L3" s="7">
        <v>974431</v>
      </c>
    </row>
    <row r="4" spans="1:12" x14ac:dyDescent="0.35">
      <c r="A4" t="s">
        <v>220</v>
      </c>
      <c r="B4" s="7">
        <v>134125</v>
      </c>
      <c r="C4" s="7">
        <v>609999</v>
      </c>
      <c r="D4" s="7">
        <v>384275</v>
      </c>
      <c r="E4" s="7">
        <v>408419</v>
      </c>
      <c r="F4" s="7"/>
      <c r="G4" s="7"/>
      <c r="H4" s="7"/>
      <c r="I4" s="7">
        <v>22710</v>
      </c>
      <c r="J4" s="7">
        <v>35797</v>
      </c>
      <c r="K4" s="7">
        <v>6</v>
      </c>
      <c r="L4" s="7">
        <v>1595331</v>
      </c>
    </row>
    <row r="5" spans="1:12" x14ac:dyDescent="0.35">
      <c r="A5" t="s">
        <v>221</v>
      </c>
      <c r="B5" s="7">
        <v>-13605</v>
      </c>
      <c r="C5" s="7">
        <v>-124973</v>
      </c>
      <c r="D5" s="7">
        <v>-370650</v>
      </c>
      <c r="E5" s="7">
        <v>-167495</v>
      </c>
      <c r="F5" s="7"/>
      <c r="G5" s="7"/>
      <c r="H5" s="7"/>
      <c r="I5" s="7">
        <v>-13240</v>
      </c>
      <c r="J5" s="7">
        <v>-34084</v>
      </c>
      <c r="K5" s="7">
        <v>-2</v>
      </c>
      <c r="L5" s="7">
        <v>-724049</v>
      </c>
    </row>
    <row r="6" spans="1:12" x14ac:dyDescent="0.35">
      <c r="A6" t="s">
        <v>222</v>
      </c>
      <c r="B6" s="7"/>
      <c r="C6" s="7"/>
      <c r="D6" s="7">
        <v>-43837</v>
      </c>
      <c r="E6" s="7">
        <v>-90</v>
      </c>
      <c r="F6" s="7"/>
      <c r="G6" s="7"/>
      <c r="H6" s="7"/>
      <c r="I6" s="7">
        <v>-17</v>
      </c>
      <c r="J6" s="7"/>
      <c r="K6" s="7"/>
      <c r="L6" s="7">
        <v>-43943</v>
      </c>
    </row>
    <row r="7" spans="1:12" x14ac:dyDescent="0.35">
      <c r="A7" t="s">
        <v>223</v>
      </c>
      <c r="B7" s="7"/>
      <c r="C7" s="7"/>
      <c r="D7" s="7">
        <v>-58029</v>
      </c>
      <c r="E7" s="7"/>
      <c r="F7" s="7"/>
      <c r="G7" s="7"/>
      <c r="H7" s="7"/>
      <c r="I7" s="7"/>
      <c r="J7" s="7"/>
      <c r="K7" s="7"/>
      <c r="L7" s="7">
        <v>-58029</v>
      </c>
    </row>
    <row r="8" spans="1:12" x14ac:dyDescent="0.35">
      <c r="A8" t="s">
        <v>224</v>
      </c>
      <c r="B8" s="7">
        <v>941</v>
      </c>
      <c r="C8" s="7">
        <v>727</v>
      </c>
      <c r="D8" s="7">
        <v>2779</v>
      </c>
      <c r="E8" s="7">
        <v>-5692</v>
      </c>
      <c r="F8" s="7"/>
      <c r="G8" s="7"/>
      <c r="H8" s="7"/>
      <c r="I8" s="7">
        <v>-179</v>
      </c>
      <c r="J8" s="7"/>
      <c r="K8" s="7"/>
      <c r="L8" s="7">
        <v>-1425</v>
      </c>
    </row>
    <row r="9" spans="1:12" x14ac:dyDescent="0.35">
      <c r="A9" t="s">
        <v>225</v>
      </c>
      <c r="B9" s="7">
        <v>255384</v>
      </c>
      <c r="C9" s="7">
        <v>648507</v>
      </c>
      <c r="D9" s="7">
        <v>-85462</v>
      </c>
      <c r="E9" s="7">
        <v>426312</v>
      </c>
      <c r="F9" s="7">
        <v>215079</v>
      </c>
      <c r="G9" s="7">
        <v>48742</v>
      </c>
      <c r="H9" s="7">
        <v>69919</v>
      </c>
      <c r="I9" s="7">
        <v>160898</v>
      </c>
      <c r="J9" s="7">
        <v>1713</v>
      </c>
      <c r="K9" s="7">
        <v>1224</v>
      </c>
      <c r="L9" s="7">
        <v>1742315</v>
      </c>
    </row>
    <row r="10" spans="1:12" x14ac:dyDescent="0.35">
      <c r="A10" t="s">
        <v>226</v>
      </c>
      <c r="B10" s="7"/>
      <c r="C10" s="7">
        <v>9157</v>
      </c>
      <c r="D10" s="7">
        <v>-5741</v>
      </c>
      <c r="E10" s="7"/>
      <c r="F10" s="7"/>
      <c r="G10" s="7"/>
      <c r="H10" s="7"/>
      <c r="I10" s="7"/>
      <c r="J10" s="7"/>
      <c r="K10" s="7"/>
      <c r="L10" s="7">
        <v>3416</v>
      </c>
    </row>
    <row r="11" spans="1:12" x14ac:dyDescent="0.35">
      <c r="A11" t="s">
        <v>227</v>
      </c>
      <c r="B11" s="7">
        <v>-2117</v>
      </c>
      <c r="C11" s="7">
        <v>355</v>
      </c>
      <c r="D11" s="7">
        <v>-2906</v>
      </c>
      <c r="E11" s="7">
        <v>2225</v>
      </c>
      <c r="F11" s="7"/>
      <c r="G11" s="7"/>
      <c r="H11" s="7">
        <v>-42</v>
      </c>
      <c r="I11" s="7">
        <v>7</v>
      </c>
      <c r="J11" s="7">
        <v>-314</v>
      </c>
      <c r="K11" s="7">
        <v>-16</v>
      </c>
      <c r="L11" s="7">
        <v>-2808</v>
      </c>
    </row>
    <row r="12" spans="1:12" x14ac:dyDescent="0.35">
      <c r="A12" t="s">
        <v>228</v>
      </c>
      <c r="B12" s="7">
        <v>-115185</v>
      </c>
      <c r="C12" s="7"/>
      <c r="D12" s="7">
        <v>-6276</v>
      </c>
      <c r="E12" s="7">
        <v>-64605</v>
      </c>
      <c r="F12" s="7">
        <v>-212164</v>
      </c>
      <c r="G12" s="7">
        <v>-48742</v>
      </c>
      <c r="H12" s="7">
        <v>-59627</v>
      </c>
      <c r="I12" s="7">
        <v>-22809</v>
      </c>
      <c r="J12" s="7">
        <v>255081</v>
      </c>
      <c r="K12" s="7">
        <v>-481</v>
      </c>
      <c r="L12" s="7">
        <v>-274810</v>
      </c>
    </row>
    <row r="13" spans="1:12" x14ac:dyDescent="0.35">
      <c r="A13" t="s">
        <v>66</v>
      </c>
      <c r="B13" s="7">
        <v>-56748</v>
      </c>
      <c r="C13" s="7"/>
      <c r="D13" s="7">
        <v>-6858</v>
      </c>
      <c r="E13" s="7">
        <v>-54348</v>
      </c>
      <c r="F13" s="7">
        <v>-2915</v>
      </c>
      <c r="G13" s="7"/>
      <c r="H13" s="7">
        <v>-2846</v>
      </c>
      <c r="I13" s="7">
        <v>-36940</v>
      </c>
      <c r="J13" s="7">
        <v>59295</v>
      </c>
      <c r="K13" s="7">
        <v>39351</v>
      </c>
      <c r="L13" s="7">
        <v>-62009</v>
      </c>
    </row>
    <row r="14" spans="1:12" x14ac:dyDescent="0.35">
      <c r="A14" t="s">
        <v>229</v>
      </c>
      <c r="B14" s="7">
        <v>-3470</v>
      </c>
      <c r="C14" s="7"/>
      <c r="D14" s="7">
        <v>-653</v>
      </c>
      <c r="E14" s="7">
        <v>-8066</v>
      </c>
      <c r="F14" s="7"/>
      <c r="G14" s="7"/>
      <c r="H14" s="7">
        <v>-1603</v>
      </c>
      <c r="I14" s="7">
        <v>-6858</v>
      </c>
      <c r="J14" s="7">
        <v>-290</v>
      </c>
      <c r="K14" s="7">
        <v>17783</v>
      </c>
      <c r="L14" s="7">
        <v>-3157</v>
      </c>
    </row>
    <row r="15" spans="1:12" x14ac:dyDescent="0.35">
      <c r="A15" t="s">
        <v>230</v>
      </c>
      <c r="B15" s="7">
        <v>-470</v>
      </c>
      <c r="C15" s="7"/>
      <c r="D15" s="7">
        <v>-134</v>
      </c>
      <c r="E15" s="7">
        <v>658</v>
      </c>
      <c r="F15" s="7"/>
      <c r="G15" s="7"/>
      <c r="H15" s="7"/>
      <c r="I15" s="7">
        <v>-662</v>
      </c>
      <c r="J15" s="7"/>
      <c r="K15" s="7"/>
      <c r="L15" s="7">
        <v>-608</v>
      </c>
    </row>
    <row r="16" spans="1:12" x14ac:dyDescent="0.35">
      <c r="A16" t="s">
        <v>70</v>
      </c>
      <c r="B16" s="7"/>
      <c r="C16" s="7">
        <v>-674894</v>
      </c>
      <c r="D16" s="7">
        <v>668595</v>
      </c>
      <c r="E16" s="7"/>
      <c r="F16" s="7"/>
      <c r="G16" s="7"/>
      <c r="H16" s="7"/>
      <c r="I16" s="7"/>
      <c r="J16" s="7"/>
      <c r="K16" s="7"/>
      <c r="L16" s="7">
        <v>-6299</v>
      </c>
    </row>
    <row r="17" spans="1:12" x14ac:dyDescent="0.35">
      <c r="A17" t="s">
        <v>231</v>
      </c>
      <c r="B17" s="7">
        <v>-23054</v>
      </c>
      <c r="C17" s="7"/>
      <c r="D17" s="7">
        <v>-392</v>
      </c>
      <c r="E17" s="7">
        <v>-56</v>
      </c>
      <c r="F17" s="7"/>
      <c r="G17" s="7"/>
      <c r="H17" s="7"/>
      <c r="I17" s="7"/>
      <c r="J17" s="7"/>
      <c r="K17" s="7"/>
      <c r="L17" s="7">
        <v>-23502</v>
      </c>
    </row>
    <row r="18" spans="1:12" x14ac:dyDescent="0.35">
      <c r="A18" t="s">
        <v>232</v>
      </c>
      <c r="B18" s="7">
        <v>-1673</v>
      </c>
      <c r="C18" s="7">
        <v>1044</v>
      </c>
      <c r="D18" s="7"/>
      <c r="E18" s="7"/>
      <c r="F18" s="7"/>
      <c r="G18" s="7"/>
      <c r="H18" s="7"/>
      <c r="I18" s="7"/>
      <c r="J18" s="7"/>
      <c r="K18" s="7"/>
      <c r="L18" s="7">
        <v>-629</v>
      </c>
    </row>
    <row r="19" spans="1:12" x14ac:dyDescent="0.35">
      <c r="A19" t="s">
        <v>233</v>
      </c>
      <c r="B19" s="7">
        <v>-156</v>
      </c>
      <c r="C19" s="7">
        <v>17565</v>
      </c>
      <c r="D19" s="7">
        <v>-16480</v>
      </c>
      <c r="E19" s="7">
        <v>-1883</v>
      </c>
      <c r="F19" s="7"/>
      <c r="G19" s="7"/>
      <c r="H19" s="7"/>
      <c r="I19" s="7">
        <v>-141</v>
      </c>
      <c r="J19" s="7"/>
      <c r="K19" s="7">
        <v>-541</v>
      </c>
      <c r="L19" s="7">
        <v>-1636</v>
      </c>
    </row>
    <row r="20" spans="1:12" x14ac:dyDescent="0.35">
      <c r="A20" t="s">
        <v>234</v>
      </c>
      <c r="B20" s="7">
        <v>-7629</v>
      </c>
      <c r="C20" s="7"/>
      <c r="D20" s="7">
        <v>-30940</v>
      </c>
      <c r="E20" s="7">
        <v>-22673</v>
      </c>
      <c r="F20" s="7"/>
      <c r="G20" s="7"/>
      <c r="H20" s="7"/>
      <c r="I20" s="7">
        <v>-616</v>
      </c>
      <c r="J20" s="7">
        <v>-22940</v>
      </c>
      <c r="K20" s="7">
        <v>-4275</v>
      </c>
      <c r="L20" s="7">
        <v>-89074</v>
      </c>
    </row>
    <row r="21" spans="1:12" x14ac:dyDescent="0.35">
      <c r="A21" t="s">
        <v>235</v>
      </c>
      <c r="B21" s="7">
        <v>-634</v>
      </c>
      <c r="C21" s="7"/>
      <c r="D21" s="7">
        <v>-10</v>
      </c>
      <c r="E21" s="7">
        <v>-1825</v>
      </c>
      <c r="F21" s="7"/>
      <c r="G21" s="7"/>
      <c r="H21" s="7">
        <v>-9</v>
      </c>
      <c r="I21" s="7">
        <v>-99</v>
      </c>
      <c r="J21" s="7">
        <v>-20851</v>
      </c>
      <c r="K21" s="7">
        <v>-4820</v>
      </c>
      <c r="L21" s="7">
        <v>-28247</v>
      </c>
    </row>
    <row r="22" spans="1:12" x14ac:dyDescent="0.35">
      <c r="A22" t="s">
        <v>131</v>
      </c>
      <c r="B22" s="7">
        <v>44248</v>
      </c>
      <c r="C22" s="7">
        <v>1735</v>
      </c>
      <c r="D22" s="7">
        <v>512742</v>
      </c>
      <c r="E22" s="7">
        <v>275738</v>
      </c>
      <c r="F22" s="7"/>
      <c r="G22" s="7"/>
      <c r="H22" s="7">
        <v>5792</v>
      </c>
      <c r="I22" s="7">
        <v>92781</v>
      </c>
      <c r="J22" s="7">
        <v>271695</v>
      </c>
      <c r="K22" s="7">
        <v>48225</v>
      </c>
      <c r="L22" s="7">
        <v>1252954</v>
      </c>
    </row>
    <row r="23" spans="1:12" x14ac:dyDescent="0.35">
      <c r="A23" t="s">
        <v>80</v>
      </c>
      <c r="B23" s="7">
        <v>27758</v>
      </c>
      <c r="C23" s="7"/>
      <c r="D23" s="7">
        <v>31012</v>
      </c>
      <c r="E23" s="7">
        <v>91246</v>
      </c>
      <c r="F23" s="7"/>
      <c r="G23" s="7"/>
      <c r="H23" s="7">
        <v>341</v>
      </c>
      <c r="I23" s="7">
        <v>28355</v>
      </c>
      <c r="J23" s="7">
        <v>103774</v>
      </c>
      <c r="K23" s="7">
        <v>16513</v>
      </c>
      <c r="L23" s="7">
        <v>298999</v>
      </c>
    </row>
    <row r="24" spans="1:12" x14ac:dyDescent="0.35">
      <c r="A24" t="s">
        <v>82</v>
      </c>
      <c r="B24" s="7">
        <v>12</v>
      </c>
      <c r="C24" s="7"/>
      <c r="D24" s="7">
        <v>327489</v>
      </c>
      <c r="E24" s="7">
        <v>3946</v>
      </c>
      <c r="F24" s="7"/>
      <c r="G24" s="7"/>
      <c r="H24" s="7"/>
      <c r="I24" s="7">
        <v>17029</v>
      </c>
      <c r="J24" s="7">
        <v>5825</v>
      </c>
      <c r="K24" s="7"/>
      <c r="L24" s="7">
        <v>354301</v>
      </c>
    </row>
    <row r="25" spans="1:12" x14ac:dyDescent="0.35">
      <c r="A25" t="s">
        <v>86</v>
      </c>
      <c r="B25" s="7">
        <v>10696</v>
      </c>
      <c r="C25" s="7"/>
      <c r="D25" s="7">
        <v>31885</v>
      </c>
      <c r="E25" s="7">
        <v>111144</v>
      </c>
      <c r="F25" s="7"/>
      <c r="G25" s="7"/>
      <c r="H25" s="7">
        <v>4038</v>
      </c>
      <c r="I25" s="7">
        <v>40245</v>
      </c>
      <c r="J25" s="7">
        <v>76786</v>
      </c>
      <c r="K25" s="7">
        <v>21015</v>
      </c>
      <c r="L25" s="7">
        <v>295808</v>
      </c>
    </row>
    <row r="26" spans="1:12" x14ac:dyDescent="0.35">
      <c r="A26" t="s">
        <v>88</v>
      </c>
      <c r="B26" s="7">
        <v>2858</v>
      </c>
      <c r="C26" s="7"/>
      <c r="D26" s="7">
        <v>14686</v>
      </c>
      <c r="E26" s="7">
        <v>49057</v>
      </c>
      <c r="F26" s="7"/>
      <c r="G26" s="7"/>
      <c r="H26" s="7">
        <v>542</v>
      </c>
      <c r="I26" s="7">
        <v>4328</v>
      </c>
      <c r="J26" s="7">
        <v>79345</v>
      </c>
      <c r="K26" s="7">
        <v>10346</v>
      </c>
      <c r="L26" s="7">
        <v>161163</v>
      </c>
    </row>
    <row r="27" spans="1:12" x14ac:dyDescent="0.35">
      <c r="A27" t="s">
        <v>90</v>
      </c>
      <c r="B27" s="7">
        <v>1030</v>
      </c>
      <c r="C27" s="7"/>
      <c r="D27" s="7">
        <v>18433</v>
      </c>
      <c r="E27" s="7">
        <v>3652</v>
      </c>
      <c r="F27" s="7"/>
      <c r="G27" s="7"/>
      <c r="H27" s="7">
        <v>809</v>
      </c>
      <c r="I27" s="7">
        <v>2804</v>
      </c>
      <c r="J27" s="7">
        <v>5590</v>
      </c>
      <c r="K27" s="7">
        <v>241</v>
      </c>
      <c r="L27" s="7">
        <v>32561</v>
      </c>
    </row>
    <row r="28" spans="1:12" x14ac:dyDescent="0.35">
      <c r="A28" t="s">
        <v>92</v>
      </c>
      <c r="B28" s="7"/>
      <c r="C28" s="7"/>
      <c r="D28" s="7">
        <v>1715</v>
      </c>
      <c r="E28" s="7">
        <v>43</v>
      </c>
      <c r="F28" s="7"/>
      <c r="G28" s="7"/>
      <c r="H28" s="7">
        <v>55</v>
      </c>
      <c r="I28" s="7">
        <v>18</v>
      </c>
      <c r="J28" s="7">
        <v>190</v>
      </c>
      <c r="K28" s="7">
        <v>41</v>
      </c>
      <c r="L28" s="7">
        <v>2062</v>
      </c>
    </row>
    <row r="29" spans="1:12" x14ac:dyDescent="0.35">
      <c r="A29" t="s">
        <v>94</v>
      </c>
      <c r="B29" s="7">
        <v>151</v>
      </c>
      <c r="C29" s="7"/>
      <c r="D29" s="7">
        <v>1865</v>
      </c>
      <c r="E29" s="7">
        <v>949</v>
      </c>
      <c r="F29" s="7"/>
      <c r="G29" s="7"/>
      <c r="H29" s="7">
        <v>6</v>
      </c>
      <c r="I29" s="7">
        <v>2</v>
      </c>
      <c r="J29" s="7">
        <v>185</v>
      </c>
      <c r="K29" s="7">
        <v>69</v>
      </c>
      <c r="L29" s="7">
        <v>3227</v>
      </c>
    </row>
    <row r="30" spans="1:12" x14ac:dyDescent="0.35">
      <c r="A30" t="s">
        <v>236</v>
      </c>
      <c r="B30" s="7">
        <v>1742</v>
      </c>
      <c r="C30" s="7">
        <v>1735</v>
      </c>
      <c r="D30" s="7">
        <v>85657</v>
      </c>
      <c r="E30" s="7">
        <v>15700</v>
      </c>
      <c r="F30" s="7"/>
      <c r="G30" s="7"/>
      <c r="H30" s="7"/>
      <c r="I30" s="7"/>
      <c r="J30" s="7"/>
      <c r="K30" s="7"/>
      <c r="L30" s="7">
        <v>104834</v>
      </c>
    </row>
    <row r="32" spans="1:12" x14ac:dyDescent="0.35">
      <c r="B32" s="7">
        <f>SUM(B9,B10:B21,B22*-1)</f>
        <v>0</v>
      </c>
      <c r="C32" s="7">
        <f t="shared" ref="C32:L32" si="0">SUM(C9,C10:C21,C22*-1)</f>
        <v>-1</v>
      </c>
      <c r="D32" s="7">
        <f t="shared" si="0"/>
        <v>1</v>
      </c>
      <c r="E32" s="7">
        <f t="shared" si="0"/>
        <v>1</v>
      </c>
      <c r="F32" s="7">
        <f t="shared" si="0"/>
        <v>0</v>
      </c>
      <c r="G32" s="7">
        <f t="shared" si="0"/>
        <v>0</v>
      </c>
      <c r="H32" s="7">
        <f t="shared" si="0"/>
        <v>0</v>
      </c>
      <c r="I32" s="7">
        <f t="shared" si="0"/>
        <v>-1</v>
      </c>
      <c r="J32" s="7">
        <f t="shared" si="0"/>
        <v>-1</v>
      </c>
      <c r="K32" s="7">
        <f t="shared" si="0"/>
        <v>0</v>
      </c>
      <c r="L32" s="7">
        <f t="shared" si="0"/>
        <v>-2</v>
      </c>
    </row>
  </sheetData>
  <pageMargins left="0.7" right="0.7" top="0.75" bottom="0.75" header="0.3" footer="0.3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 codeName="Ark69"/>
  <dimension ref="A1:AH30"/>
  <sheetViews>
    <sheetView topLeftCell="G4" zoomScale="130" zoomScaleNormal="130" workbookViewId="0">
      <selection activeCell="R29" sqref="R29"/>
    </sheetView>
  </sheetViews>
  <sheetFormatPr defaultRowHeight="14.5" x14ac:dyDescent="0.35"/>
  <cols>
    <col min="3" max="3" width="16.453125" customWidth="1"/>
    <col min="4" max="4" width="12.81640625" customWidth="1"/>
    <col min="5" max="5" width="12.54296875" customWidth="1"/>
    <col min="6" max="6" width="16.54296875" customWidth="1"/>
    <col min="10" max="10" width="12.54296875" customWidth="1"/>
    <col min="11" max="11" width="11.54296875" customWidth="1"/>
    <col min="14" max="14" width="10.81640625" customWidth="1"/>
    <col min="15" max="15" width="51.54296875" customWidth="1"/>
    <col min="16" max="18" width="15.81640625" customWidth="1"/>
    <col min="19" max="19" width="12.81640625" customWidth="1"/>
    <col min="24" max="24" width="14.1796875" bestFit="1" customWidth="1"/>
    <col min="33" max="34" width="11.26953125" customWidth="1"/>
  </cols>
  <sheetData>
    <row r="1" spans="1:34" ht="140" x14ac:dyDescent="0.35">
      <c r="B1" s="44" t="s">
        <v>0</v>
      </c>
      <c r="C1" s="3" t="s">
        <v>1</v>
      </c>
      <c r="D1" s="8" t="s">
        <v>2</v>
      </c>
      <c r="E1" s="2" t="s">
        <v>3</v>
      </c>
      <c r="F1" s="3" t="s">
        <v>4</v>
      </c>
      <c r="G1" s="1" t="s">
        <v>5</v>
      </c>
      <c r="H1" s="1" t="s">
        <v>6</v>
      </c>
      <c r="I1" s="1" t="s">
        <v>7</v>
      </c>
      <c r="J1" s="3" t="s">
        <v>8</v>
      </c>
      <c r="K1" s="2" t="s">
        <v>9</v>
      </c>
      <c r="L1" s="2" t="s">
        <v>10</v>
      </c>
      <c r="M1" s="17" t="s">
        <v>11</v>
      </c>
      <c r="N1" s="5" t="s">
        <v>12</v>
      </c>
      <c r="O1" s="4" t="s">
        <v>266</v>
      </c>
      <c r="P1" s="60"/>
      <c r="Q1" s="60"/>
      <c r="R1" s="12" t="s">
        <v>14</v>
      </c>
      <c r="S1" s="11" t="s">
        <v>15</v>
      </c>
      <c r="T1" s="12" t="s">
        <v>16</v>
      </c>
      <c r="U1" s="44" t="s">
        <v>17</v>
      </c>
      <c r="V1" s="3" t="s">
        <v>1</v>
      </c>
      <c r="W1" s="8" t="s">
        <v>2</v>
      </c>
      <c r="X1" s="9" t="s">
        <v>3</v>
      </c>
      <c r="Y1" s="3" t="s">
        <v>4</v>
      </c>
      <c r="Z1" s="1" t="s">
        <v>5</v>
      </c>
      <c r="AA1" s="1" t="s">
        <v>6</v>
      </c>
      <c r="AB1" s="1" t="s">
        <v>7</v>
      </c>
      <c r="AC1" s="3" t="s">
        <v>8</v>
      </c>
      <c r="AD1" s="2" t="s">
        <v>9</v>
      </c>
      <c r="AE1" s="2" t="s">
        <v>10</v>
      </c>
      <c r="AF1" s="17" t="s">
        <v>11</v>
      </c>
      <c r="AG1" s="13" t="s">
        <v>18</v>
      </c>
      <c r="AH1" s="13" t="s">
        <v>19</v>
      </c>
    </row>
    <row r="2" spans="1:34" ht="24.75" customHeight="1" x14ac:dyDescent="0.35">
      <c r="A2" s="45" t="s">
        <v>20</v>
      </c>
      <c r="B2" s="46" t="s">
        <v>21</v>
      </c>
      <c r="C2" s="46" t="s">
        <v>22</v>
      </c>
      <c r="D2" s="46" t="s">
        <v>23</v>
      </c>
      <c r="E2" s="47" t="s">
        <v>24</v>
      </c>
      <c r="F2" s="46" t="s">
        <v>25</v>
      </c>
      <c r="G2" s="46" t="s">
        <v>26</v>
      </c>
      <c r="H2" s="46" t="s">
        <v>27</v>
      </c>
      <c r="I2" s="46" t="s">
        <v>28</v>
      </c>
      <c r="J2" s="48" t="s">
        <v>29</v>
      </c>
      <c r="K2" s="47" t="s">
        <v>30</v>
      </c>
      <c r="L2" s="49" t="s">
        <v>31</v>
      </c>
      <c r="M2" s="49" t="s">
        <v>32</v>
      </c>
      <c r="N2" s="50" t="s">
        <v>33</v>
      </c>
      <c r="O2" s="51"/>
      <c r="P2" s="52" t="s">
        <v>20</v>
      </c>
      <c r="Q2" s="53" t="s">
        <v>34</v>
      </c>
      <c r="R2" s="50" t="s">
        <v>35</v>
      </c>
      <c r="S2" s="54" t="s">
        <v>36</v>
      </c>
      <c r="T2" s="50" t="s">
        <v>37</v>
      </c>
      <c r="U2" s="46" t="s">
        <v>38</v>
      </c>
      <c r="V2" s="46" t="s">
        <v>39</v>
      </c>
      <c r="W2" s="46" t="s">
        <v>40</v>
      </c>
      <c r="X2" s="47" t="s">
        <v>41</v>
      </c>
      <c r="Y2" s="46" t="s">
        <v>42</v>
      </c>
      <c r="Z2" s="46" t="s">
        <v>43</v>
      </c>
      <c r="AA2" s="46" t="s">
        <v>44</v>
      </c>
      <c r="AB2" s="46" t="s">
        <v>45</v>
      </c>
      <c r="AC2" s="46" t="s">
        <v>46</v>
      </c>
      <c r="AD2" s="47" t="s">
        <v>47</v>
      </c>
      <c r="AE2" s="47" t="s">
        <v>48</v>
      </c>
      <c r="AF2" s="49" t="s">
        <v>49</v>
      </c>
      <c r="AG2" s="46" t="s">
        <v>50</v>
      </c>
      <c r="AH2" s="46" t="s">
        <v>51</v>
      </c>
    </row>
    <row r="3" spans="1:34" ht="24.75" customHeight="1" x14ac:dyDescent="0.35">
      <c r="A3" s="45" t="s">
        <v>34</v>
      </c>
      <c r="B3" s="55"/>
      <c r="C3" s="56" t="s">
        <v>52</v>
      </c>
      <c r="D3" s="56" t="s">
        <v>52</v>
      </c>
      <c r="E3" s="56" t="s">
        <v>21</v>
      </c>
      <c r="F3" s="56" t="s">
        <v>21</v>
      </c>
      <c r="G3" s="56" t="s">
        <v>21</v>
      </c>
      <c r="H3" s="56" t="s">
        <v>52</v>
      </c>
      <c r="I3" s="56" t="s">
        <v>52</v>
      </c>
      <c r="J3" s="56" t="s">
        <v>21</v>
      </c>
      <c r="K3" s="56" t="s">
        <v>21</v>
      </c>
      <c r="L3" s="57" t="s">
        <v>21</v>
      </c>
      <c r="M3" s="57" t="s">
        <v>21</v>
      </c>
      <c r="N3" s="50"/>
      <c r="O3" s="51" t="s">
        <v>53</v>
      </c>
      <c r="P3" s="52"/>
      <c r="Q3" s="53"/>
      <c r="R3" s="74"/>
      <c r="S3" s="58"/>
      <c r="T3" s="59"/>
      <c r="U3" s="55"/>
      <c r="V3" s="56" t="s">
        <v>38</v>
      </c>
      <c r="W3" s="56" t="s">
        <v>38</v>
      </c>
      <c r="X3" s="56" t="s">
        <v>38</v>
      </c>
      <c r="Y3" s="56" t="s">
        <v>38</v>
      </c>
      <c r="Z3" s="56" t="s">
        <v>38</v>
      </c>
      <c r="AA3" s="56" t="s">
        <v>38</v>
      </c>
      <c r="AB3" s="56" t="s">
        <v>54</v>
      </c>
      <c r="AC3" s="56" t="s">
        <v>38</v>
      </c>
      <c r="AD3" s="56" t="s">
        <v>38</v>
      </c>
      <c r="AE3" s="56" t="s">
        <v>38</v>
      </c>
      <c r="AF3" s="57" t="s">
        <v>38</v>
      </c>
      <c r="AG3" s="56"/>
      <c r="AH3" s="56"/>
    </row>
    <row r="4" spans="1:34" ht="24.75" customHeight="1" x14ac:dyDescent="0.35">
      <c r="A4" s="72" t="s">
        <v>55</v>
      </c>
      <c r="B4" s="72">
        <f>'Størrelse på strømme'!E9</f>
        <v>0</v>
      </c>
      <c r="C4" s="56"/>
      <c r="D4" s="56"/>
      <c r="E4" s="56"/>
      <c r="F4" s="56"/>
      <c r="G4" s="56"/>
      <c r="H4" s="56"/>
      <c r="I4" s="56"/>
      <c r="J4" s="56"/>
      <c r="K4" s="56"/>
      <c r="L4" s="57"/>
      <c r="M4" s="57"/>
      <c r="N4" s="50"/>
      <c r="O4" s="51"/>
      <c r="P4" s="73"/>
      <c r="Q4" s="53"/>
      <c r="R4" s="74"/>
      <c r="S4" s="58"/>
      <c r="T4" s="59"/>
      <c r="U4" s="55">
        <f>B4</f>
        <v>0</v>
      </c>
      <c r="V4" s="56"/>
      <c r="W4" s="56"/>
      <c r="X4" s="56"/>
      <c r="Y4" s="56"/>
      <c r="Z4" s="56"/>
      <c r="AA4" s="56"/>
      <c r="AB4" s="56"/>
      <c r="AC4" s="56"/>
      <c r="AD4" s="56"/>
      <c r="AE4" s="56"/>
      <c r="AF4" s="57"/>
      <c r="AG4" s="56">
        <f>U4</f>
        <v>0</v>
      </c>
      <c r="AH4" s="56">
        <f>U4</f>
        <v>0</v>
      </c>
    </row>
    <row r="5" spans="1:34" x14ac:dyDescent="0.35">
      <c r="C5" s="14"/>
      <c r="D5" s="14"/>
      <c r="E5" s="14"/>
      <c r="F5" s="14"/>
      <c r="G5" s="14"/>
      <c r="H5" s="14"/>
      <c r="I5" s="14"/>
      <c r="J5" s="14"/>
      <c r="K5" s="14"/>
      <c r="L5" s="14"/>
      <c r="M5" s="14"/>
      <c r="N5" s="23">
        <f>SUM(C5:M5)</f>
        <v>0</v>
      </c>
      <c r="O5" s="10" t="s">
        <v>56</v>
      </c>
      <c r="P5" s="62" t="s">
        <v>57</v>
      </c>
      <c r="Q5" s="63"/>
      <c r="R5" s="63"/>
      <c r="S5" s="24">
        <f>SUM(V5:AF5)</f>
        <v>30230.986298981748</v>
      </c>
      <c r="T5" s="37"/>
      <c r="U5" s="61"/>
      <c r="V5" s="14">
        <f>-(C6+C5)</f>
        <v>8820.4875459222167</v>
      </c>
      <c r="W5" s="14">
        <f>-(D6+D5)</f>
        <v>10241.059599393642</v>
      </c>
      <c r="X5" s="14"/>
      <c r="Y5" s="14">
        <f>-(F6+F5)</f>
        <v>7810.8741603354283</v>
      </c>
      <c r="Z5" s="14">
        <f>-(G6+G5)</f>
        <v>2149.6844378497422</v>
      </c>
      <c r="AA5" s="14"/>
      <c r="AB5" s="14"/>
      <c r="AC5" s="14">
        <f>-(J6+J5)</f>
        <v>1208.8805554807177</v>
      </c>
      <c r="AD5" s="14"/>
      <c r="AE5" s="14"/>
      <c r="AF5" s="14"/>
      <c r="AG5" s="14"/>
      <c r="AH5" s="14"/>
    </row>
    <row r="6" spans="1:34" x14ac:dyDescent="0.35">
      <c r="C6" s="14">
        <f>-V6</f>
        <v>-8820.4875459222167</v>
      </c>
      <c r="D6" s="14">
        <f>-W6</f>
        <v>-10241.059599393642</v>
      </c>
      <c r="E6" s="14"/>
      <c r="F6" s="14">
        <f>-Y6</f>
        <v>-7810.8741603354283</v>
      </c>
      <c r="G6" s="14">
        <f>-Z6</f>
        <v>-2149.6844378497422</v>
      </c>
      <c r="H6" s="14"/>
      <c r="I6" s="14"/>
      <c r="J6" s="14">
        <f>-AC6</f>
        <v>-1208.8805554807177</v>
      </c>
      <c r="K6" s="14"/>
      <c r="L6" s="18"/>
      <c r="M6" s="18"/>
      <c r="N6" s="23">
        <f t="shared" ref="N6:N15" si="0">SUM(C6:M6)</f>
        <v>-30230.986298981748</v>
      </c>
      <c r="O6" s="22" t="s">
        <v>58</v>
      </c>
      <c r="P6" s="65" t="s">
        <v>59</v>
      </c>
      <c r="Q6" s="66"/>
      <c r="R6" s="66"/>
      <c r="S6" s="24">
        <f t="shared" ref="S6:S25" si="1">SUM(V6:AF6)</f>
        <v>30230.986298981748</v>
      </c>
      <c r="T6" s="37"/>
      <c r="U6" s="61"/>
      <c r="V6" s="14">
        <f>-(C16+C8)</f>
        <v>8820.4875459222167</v>
      </c>
      <c r="W6" s="14">
        <f>-(D16+D8)</f>
        <v>10241.059599393642</v>
      </c>
      <c r="X6" s="14"/>
      <c r="Y6" s="14">
        <f>-(F16+F8)</f>
        <v>7810.8741603354283</v>
      </c>
      <c r="Z6" s="14">
        <f>-(G16+G8)</f>
        <v>2149.6844378497422</v>
      </c>
      <c r="AA6" s="14"/>
      <c r="AB6" s="14"/>
      <c r="AC6" s="14">
        <f>-(J16+J8)</f>
        <v>1208.8805554807177</v>
      </c>
      <c r="AD6" s="14"/>
      <c r="AE6" s="14"/>
      <c r="AF6" s="14"/>
      <c r="AG6" s="21">
        <f>-(N6+S6)</f>
        <v>0</v>
      </c>
      <c r="AH6" s="21"/>
    </row>
    <row r="7" spans="1:34" x14ac:dyDescent="0.35"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23">
        <f t="shared" si="0"/>
        <v>0</v>
      </c>
      <c r="O7" s="22" t="s">
        <v>60</v>
      </c>
      <c r="P7" s="67" t="s">
        <v>61</v>
      </c>
      <c r="Q7" s="66"/>
      <c r="R7" s="66"/>
      <c r="S7" s="24">
        <f t="shared" si="1"/>
        <v>1147.7503829087805</v>
      </c>
      <c r="T7" s="37"/>
      <c r="U7" s="61"/>
      <c r="V7" s="14"/>
      <c r="W7" s="14"/>
      <c r="X7" s="14"/>
      <c r="Y7" s="14"/>
      <c r="Z7" s="16"/>
      <c r="AA7" s="19">
        <f>-H8</f>
        <v>452.7723077186929</v>
      </c>
      <c r="AB7" s="19">
        <f>-I8</f>
        <v>694.97807519008745</v>
      </c>
      <c r="AC7" s="14"/>
      <c r="AD7" s="14"/>
      <c r="AE7" s="14"/>
      <c r="AF7" s="14"/>
      <c r="AG7" s="14"/>
      <c r="AH7" s="14"/>
    </row>
    <row r="8" spans="1:34" x14ac:dyDescent="0.35">
      <c r="C8" s="14">
        <f>SUM(C9:C13)</f>
        <v>-7442.0707934246757</v>
      </c>
      <c r="D8" s="14">
        <f t="shared" ref="D8:M8" si="2">SUM(D9:D13)</f>
        <v>-10239.468474268926</v>
      </c>
      <c r="E8" s="14">
        <f t="shared" si="2"/>
        <v>-1343.293851819732</v>
      </c>
      <c r="F8" s="14">
        <f t="shared" si="2"/>
        <v>-5067.6925418593701</v>
      </c>
      <c r="G8" s="14">
        <f t="shared" si="2"/>
        <v>-2149.6844378497422</v>
      </c>
      <c r="H8" s="14">
        <f t="shared" si="2"/>
        <v>-452.7723077186929</v>
      </c>
      <c r="I8" s="14">
        <f t="shared" si="2"/>
        <v>-694.97807519008745</v>
      </c>
      <c r="J8" s="14">
        <f t="shared" si="2"/>
        <v>-552.95944161059288</v>
      </c>
      <c r="K8" s="14">
        <f t="shared" si="2"/>
        <v>-458.07981250464616</v>
      </c>
      <c r="L8" s="14">
        <f t="shared" si="2"/>
        <v>-4.9408960000000004</v>
      </c>
      <c r="M8" s="14">
        <f t="shared" si="2"/>
        <v>0</v>
      </c>
      <c r="N8" s="23">
        <f t="shared" si="0"/>
        <v>-28405.940632246467</v>
      </c>
      <c r="O8" s="22" t="s">
        <v>62</v>
      </c>
      <c r="P8" s="67" t="s">
        <v>63</v>
      </c>
      <c r="Q8" s="66"/>
      <c r="R8" s="66"/>
      <c r="S8" s="24">
        <f t="shared" si="1"/>
        <v>17559.97116657174</v>
      </c>
      <c r="T8" s="37"/>
      <c r="U8" s="61"/>
      <c r="V8" s="14">
        <f>SUM(V9:V13)</f>
        <v>0</v>
      </c>
      <c r="W8" s="14"/>
      <c r="X8" s="14">
        <f>(E14+E8)*-1</f>
        <v>10111.986468625913</v>
      </c>
      <c r="Y8" s="14"/>
      <c r="Z8" s="14"/>
      <c r="AA8" s="14"/>
      <c r="AB8" s="14"/>
      <c r="AC8" s="14"/>
      <c r="AD8" s="14">
        <f>(K14+K8)*-1</f>
        <v>7185.9103954284046</v>
      </c>
      <c r="AE8" s="14">
        <f>(L14+L8)*-1</f>
        <v>262.07430251742289</v>
      </c>
      <c r="AF8" s="14"/>
      <c r="AG8" s="21">
        <f>-(N8+S8)</f>
        <v>10845.969465674727</v>
      </c>
      <c r="AH8" s="21">
        <f>SUM(AH9:AH13)</f>
        <v>1097.9455329996279</v>
      </c>
    </row>
    <row r="9" spans="1:34" x14ac:dyDescent="0.35">
      <c r="C9" s="26">
        <f>-($AD$9+$H$9+$I$9)/$T$9*' KF OECD Asia Oceania'!$H109</f>
        <v>-6886.4407552593311</v>
      </c>
      <c r="D9" s="26">
        <f>-($AD$9+$H$9+$I$9)/$T$9*' KF OECD Asia Oceania'!$H110</f>
        <v>-20.996260272205628</v>
      </c>
      <c r="E9" s="26">
        <f>-($AD$9+$H$9+$I$9)/$T$9*' KF OECD Asia Oceania'!$H111</f>
        <v>-535.17596479966505</v>
      </c>
      <c r="F9" s="26">
        <f>-($AD$9+$H$9+$I$9)/$T$9*' KF OECD Asia Oceania'!$H112</f>
        <v>-4146.9069223961615</v>
      </c>
      <c r="G9" s="26">
        <f>-($AD$9+$H$9+$I$9)/$T$9*' KF OECD Asia Oceania'!$H113</f>
        <v>-2149.6844378497422</v>
      </c>
      <c r="H9" s="26">
        <f>AD9*' KF OECD Asia Oceania'!H94*-1</f>
        <v>-452.7723077186929</v>
      </c>
      <c r="I9" s="26">
        <f>AD9*' KF OECD Asia Oceania'!H95*-1</f>
        <v>-691.94369874412098</v>
      </c>
      <c r="J9" s="26">
        <f>-($AD$9+$H$9+$I$9)/$T$9*' KF OECD Asia Oceania'!$H114</f>
        <v>-470.10834633233475</v>
      </c>
      <c r="K9" s="25"/>
      <c r="L9" s="25"/>
      <c r="M9" s="25"/>
      <c r="N9" s="23">
        <f t="shared" si="0"/>
        <v>-15354.028693372253</v>
      </c>
      <c r="O9" s="6" t="s">
        <v>64</v>
      </c>
      <c r="P9" s="68" t="s">
        <v>65</v>
      </c>
      <c r="Q9" s="69" t="s">
        <v>63</v>
      </c>
      <c r="R9" s="69"/>
      <c r="S9" s="24">
        <f t="shared" si="1"/>
        <v>6860.6332256219684</v>
      </c>
      <c r="T9" s="37">
        <f>' KF OECD Asia Oceania'!H104</f>
        <v>0.40226556661146851</v>
      </c>
      <c r="U9" s="61"/>
      <c r="V9" s="28"/>
      <c r="W9" s="28"/>
      <c r="X9" s="28"/>
      <c r="Y9" s="28"/>
      <c r="Z9" s="28"/>
      <c r="AA9" s="28"/>
      <c r="AB9" s="28"/>
      <c r="AC9" s="28"/>
      <c r="AD9" s="28">
        <f>AD8-AD10</f>
        <v>6860.6332256219684</v>
      </c>
      <c r="AE9" s="28"/>
      <c r="AF9" s="28"/>
      <c r="AG9" s="29">
        <f>-(S9+N9)</f>
        <v>8493.3954677502843</v>
      </c>
      <c r="AH9" s="29">
        <f>-(C9*Emissionsfaktorer!$B$2*(1-' KF OECD Asia Oceania'!H134)+D9*Emissionsfaktorer!$B$3+E9*Emissionsfaktorer!$B$4*(1-' KF OECD Asia Oceania'!H135)+F9*Emissionsfaktorer!$B$5*(1-' KF OECD Asia Oceania'!H136)+G9*Emissionsfaktorer!$B$6+H9*Emissionsfaktorer!$B$7+I9*Emissionsfaktorer!$B$8-J9*Emissionsfaktorer!B13*' KF OECD Asia Oceania'!H137+K9*Emissionsfaktorer!$B$10+L9*Emissionsfaktorer!$B$11+M9*Emissionsfaktorer!$B$12)</f>
        <v>931.25893965099215</v>
      </c>
    </row>
    <row r="10" spans="1:34" x14ac:dyDescent="0.35">
      <c r="C10" s="26">
        <f>-($AD$10+$AE$10+$H$10+$I$10)/$T$10*' KF OECD Asia Oceania'!$H116</f>
        <v>-259.67874216534415</v>
      </c>
      <c r="D10" s="26">
        <f>-($AD$10+$AE$10+$H$10+$I$10)/$T$10*' KF OECD Asia Oceania'!$H117</f>
        <v>0</v>
      </c>
      <c r="E10" s="26">
        <f>-($AD$10+$AE$10+$H$10+$I$10)/$T$10*' KF OECD Asia Oceania'!$H118</f>
        <v>-66.037613705639473</v>
      </c>
      <c r="F10" s="26">
        <f>-($AD$10+$AE$10+$H$10+$I$10)/$T$10*' KF OECD Asia Oceania'!$H119</f>
        <v>-511.25250513948828</v>
      </c>
      <c r="G10" s="26">
        <f>-($AD$10+$AE$10+$H$10+$I$10)/$T$10*' KF OECD Asia Oceania'!$H120</f>
        <v>0</v>
      </c>
      <c r="H10" s="26"/>
      <c r="I10" s="26">
        <f>(AD10+AE10)*' KF OECD Asia Oceania'!H98*-1</f>
        <v>-3.0343764459665055</v>
      </c>
      <c r="J10" s="26">
        <f>-($AD$10+$AE$10+$H$10+$I$10)/$T$10*' KF OECD Asia Oceania'!$H121</f>
        <v>-54.538924015661138</v>
      </c>
      <c r="K10" s="25"/>
      <c r="L10" s="25"/>
      <c r="M10" s="25"/>
      <c r="N10" s="23">
        <f t="shared" si="0"/>
        <v>-894.54216147209956</v>
      </c>
      <c r="O10" s="6" t="s">
        <v>66</v>
      </c>
      <c r="P10" s="68" t="s">
        <v>67</v>
      </c>
      <c r="Q10" s="69" t="s">
        <v>63</v>
      </c>
      <c r="R10" s="69"/>
      <c r="S10" s="24">
        <f t="shared" si="1"/>
        <v>541.07723152286951</v>
      </c>
      <c r="T10" s="37">
        <f>' KF OECD Asia Oceania'!H105</f>
        <v>0.60352008598683327</v>
      </c>
      <c r="U10" s="61"/>
      <c r="V10" s="28"/>
      <c r="W10" s="28"/>
      <c r="X10" s="28"/>
      <c r="Y10" s="28"/>
      <c r="Z10" s="28"/>
      <c r="AA10" s="28"/>
      <c r="AB10" s="28"/>
      <c r="AC10" s="28"/>
      <c r="AD10" s="28">
        <f>AE10*' KF OECD Asia Oceania'!H90</f>
        <v>325.27716980643578</v>
      </c>
      <c r="AE10" s="28">
        <f>AE8*' KF OECD Asia Oceania'!H85</f>
        <v>215.8000617164337</v>
      </c>
      <c r="AF10" s="28"/>
      <c r="AG10" s="29">
        <f t="shared" ref="AG10:AG11" si="3">-(S10+N10)</f>
        <v>353.46492994923005</v>
      </c>
      <c r="AH10" s="29">
        <f>-(C10*Emissionsfaktorer!$B$2*(1-' KF OECD Asia Oceania'!H135)+D10*Emissionsfaktorer!$B$3+E10*Emissionsfaktorer!$B$4*(1-' KF OECD Asia Oceania'!H136)+F10*Emissionsfaktorer!$B$5*(1-' KF OECD Asia Oceania'!H137)+G10*Emissionsfaktorer!$B$6+H10*Emissionsfaktorer!$B$7+I10*Emissionsfaktorer!$B$8-J10*Emissionsfaktorer!B14*' KF OECD Asia Oceania'!H142+K10*Emissionsfaktorer!$B$10+L10*Emissionsfaktorer!$B$11+M10*Emissionsfaktorer!$B$12)</f>
        <v>58.829731940287125</v>
      </c>
    </row>
    <row r="11" spans="1:34" x14ac:dyDescent="0.35">
      <c r="C11" s="26">
        <f>-($AE$11+$H$11+$I$11)/$T$11*' KF OECD Asia Oceania'!$H123</f>
        <v>0</v>
      </c>
      <c r="D11" s="26">
        <f>-($AE$11+$H$11+$I$11)/$T$11*' KF OECD Asia Oceania'!$H124</f>
        <v>0</v>
      </c>
      <c r="E11" s="26">
        <f>-($AE$11+$H$11+$I$11)/$T$11*' KF OECD Asia Oceania'!$H125</f>
        <v>-8.9434253144275946</v>
      </c>
      <c r="F11" s="26">
        <f>-($AE$11+$H$11+$I$11)/$T$11*' KF OECD Asia Oceania'!$H126</f>
        <v>-15.810698323720212</v>
      </c>
      <c r="G11" s="26">
        <f>-($AE$11+$H$11+$I$11)/$T$11*' KF OECD Asia Oceania'!$H127</f>
        <v>0</v>
      </c>
      <c r="H11" s="26"/>
      <c r="I11" s="26">
        <f>AE11*' KF OECD Asia Oceania'!H101*-1</f>
        <v>0</v>
      </c>
      <c r="J11" s="26">
        <f>-($AE$11+$H$11+$I$11)/$T$11*' KF OECD Asia Oceania'!$H128</f>
        <v>-22.198859262597065</v>
      </c>
      <c r="K11" s="28">
        <f>AE11*' KF OECD Asia Oceania'!H88*-1</f>
        <v>-3.4336365046463087</v>
      </c>
      <c r="L11" s="25"/>
      <c r="M11" s="25"/>
      <c r="N11" s="23">
        <f t="shared" si="0"/>
        <v>-50.38661940539118</v>
      </c>
      <c r="O11" s="6" t="s">
        <v>68</v>
      </c>
      <c r="P11" s="64" t="s">
        <v>69</v>
      </c>
      <c r="Q11" s="69" t="s">
        <v>63</v>
      </c>
      <c r="R11" s="69"/>
      <c r="S11" s="24">
        <f t="shared" si="1"/>
        <v>46.274240800989205</v>
      </c>
      <c r="T11" s="37">
        <f>' KF OECD Asia Oceania'!H106</f>
        <v>0.98554421768707479</v>
      </c>
      <c r="U11" s="61"/>
      <c r="V11" s="28"/>
      <c r="W11" s="28"/>
      <c r="X11" s="28"/>
      <c r="Y11" s="28"/>
      <c r="Z11" s="28"/>
      <c r="AA11" s="28"/>
      <c r="AB11" s="28"/>
      <c r="AC11" s="28"/>
      <c r="AD11" s="28"/>
      <c r="AE11" s="28">
        <f>AE8*' KF OECD Asia Oceania'!H86</f>
        <v>46.274240800989205</v>
      </c>
      <c r="AF11" s="28"/>
      <c r="AG11" s="29">
        <f t="shared" si="3"/>
        <v>4.1123786044019752</v>
      </c>
      <c r="AH11" s="29">
        <f>-(C11*Emissionsfaktorer!$B$2+D11*Emissionsfaktorer!$B$3+E11*Emissionsfaktorer!$B$4+F11*Emissionsfaktorer!$B$5+G11*Emissionsfaktorer!$B$6+H11*Emissionsfaktorer!$B$7+I11*Emissionsfaktorer!$B$8+J11*Emissionsfaktorer!$B$9+K11*Emissionsfaktorer!$B$10+L11*Emissionsfaktorer!$B$11+M11*Emissionsfaktorer!$B$12)</f>
        <v>1.5809101283485494</v>
      </c>
    </row>
    <row r="12" spans="1:34" x14ac:dyDescent="0.35">
      <c r="C12" s="26"/>
      <c r="D12" s="26">
        <f>-X12/T12*' KF OECD Asia Oceania'!H130</f>
        <v>-10214.745605996719</v>
      </c>
      <c r="E12" s="25"/>
      <c r="F12" s="26"/>
      <c r="G12" s="26"/>
      <c r="H12" s="26"/>
      <c r="I12" s="26"/>
      <c r="J12" s="27">
        <f>-X12/T12*' KF OECD Asia Oceania'!H131</f>
        <v>0</v>
      </c>
      <c r="K12" s="25"/>
      <c r="L12" s="25"/>
      <c r="M12" s="25"/>
      <c r="N12" s="23">
        <f t="shared" si="0"/>
        <v>-10214.745605996719</v>
      </c>
      <c r="O12" s="6" t="s">
        <v>70</v>
      </c>
      <c r="P12" s="64" t="s">
        <v>71</v>
      </c>
      <c r="Q12" s="69" t="s">
        <v>63</v>
      </c>
      <c r="R12" s="69"/>
      <c r="S12" s="24">
        <f t="shared" si="1"/>
        <v>10111.986468625913</v>
      </c>
      <c r="T12" s="37">
        <f>' KF OECD Asia Oceania'!H107</f>
        <v>0.98994011781257873</v>
      </c>
      <c r="U12" s="61"/>
      <c r="V12" s="28"/>
      <c r="W12" s="28"/>
      <c r="X12" s="28">
        <f>-(E9+E10+E11+E13+E14)</f>
        <v>10111.986468625913</v>
      </c>
      <c r="Y12" s="28"/>
      <c r="Z12" s="28"/>
      <c r="AA12" s="28"/>
      <c r="AB12" s="28"/>
      <c r="AC12" s="28"/>
      <c r="AD12" s="28"/>
      <c r="AE12" s="28"/>
      <c r="AF12" s="28"/>
      <c r="AG12" s="29">
        <f>-(S12+N12)</f>
        <v>102.75913737080555</v>
      </c>
      <c r="AH12" s="29">
        <f>J12*Emissionsfaktorer!B4</f>
        <v>0</v>
      </c>
    </row>
    <row r="13" spans="1:34" x14ac:dyDescent="0.35">
      <c r="C13" s="28">
        <f>N13*' KF OECD Asia Oceania'!H79</f>
        <v>-295.95129600000001</v>
      </c>
      <c r="D13" s="28">
        <f>N13*' KF OECD Asia Oceania'!H81</f>
        <v>-3.7266079999999997</v>
      </c>
      <c r="E13" s="28">
        <f>N13*' KF OECD Asia Oceania'!H82</f>
        <v>-733.13684799999999</v>
      </c>
      <c r="F13" s="28">
        <f>N13*' KF OECD Asia Oceania'!H80</f>
        <v>-393.72241600000001</v>
      </c>
      <c r="G13" s="28"/>
      <c r="H13" s="28"/>
      <c r="I13" s="28"/>
      <c r="J13" s="36">
        <f>N13*' KF OECD Asia Oceania'!H83</f>
        <v>-6.1133119999999996</v>
      </c>
      <c r="K13" s="28">
        <f>N13*' KF OECD Asia Oceania'!H77</f>
        <v>-454.64617599999985</v>
      </c>
      <c r="L13" s="28">
        <f>N13*' KF OECD Asia Oceania'!H78</f>
        <v>-4.9408960000000004</v>
      </c>
      <c r="M13" s="25"/>
      <c r="N13" s="23">
        <f>N16*' KF OECD Asia Oceania'!H75</f>
        <v>-1892.2375520000001</v>
      </c>
      <c r="O13" s="6" t="s">
        <v>72</v>
      </c>
      <c r="P13" s="64" t="s">
        <v>73</v>
      </c>
      <c r="Q13" s="69" t="s">
        <v>63</v>
      </c>
      <c r="R13" s="69"/>
      <c r="S13" s="24">
        <f t="shared" si="1"/>
        <v>0</v>
      </c>
      <c r="T13" s="37">
        <v>0</v>
      </c>
      <c r="U13" s="61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9">
        <f>-(S13+N13)</f>
        <v>1892.2375520000001</v>
      </c>
      <c r="AH13" s="29">
        <f>-(C13*Emissionsfaktorer!$B$2+D13*Emissionsfaktorer!$B$3+E13*Emissionsfaktorer!$B$4+F13*Emissionsfaktorer!$B$5+G13*Emissionsfaktorer!$B$6+H13*Emissionsfaktorer!$B$7+I13*Emissionsfaktorer!$B$8+J13*Emissionsfaktorer!$B$9+K13*Emissionsfaktorer!$B$10+L13*Emissionsfaktorer!$B$11+M13*Emissionsfaktorer!$B$12)</f>
        <v>106.27595128</v>
      </c>
    </row>
    <row r="14" spans="1:34" x14ac:dyDescent="0.35">
      <c r="C14" s="15"/>
      <c r="D14" s="15"/>
      <c r="E14" s="16">
        <f>-X14*1</f>
        <v>-8768.6926168061818</v>
      </c>
      <c r="F14" s="15"/>
      <c r="G14" s="15"/>
      <c r="H14" s="15"/>
      <c r="I14" s="15"/>
      <c r="J14" s="20"/>
      <c r="K14" s="16">
        <f>-AD14*(1+' KF OECD Asia Oceania'!H72)</f>
        <v>-6727.8305829237588</v>
      </c>
      <c r="L14" s="16">
        <f>-AE14*(1+' KF OECD Asia Oceania'!H73)</f>
        <v>-257.13340651742288</v>
      </c>
      <c r="M14" s="16"/>
      <c r="N14" s="23">
        <f t="shared" si="0"/>
        <v>-15753.656606247365</v>
      </c>
      <c r="O14" s="22" t="s">
        <v>74</v>
      </c>
      <c r="P14" s="66" t="s">
        <v>75</v>
      </c>
      <c r="Q14" s="70"/>
      <c r="R14" s="70"/>
      <c r="S14" s="24">
        <f t="shared" si="1"/>
        <v>15455.651952618045</v>
      </c>
      <c r="T14" s="37"/>
      <c r="U14" s="61"/>
      <c r="V14" s="16"/>
      <c r="W14" s="16"/>
      <c r="X14" s="16">
        <f>-E16</f>
        <v>8768.6926168061818</v>
      </c>
      <c r="Y14" s="16"/>
      <c r="Z14" s="16"/>
      <c r="AA14" s="16"/>
      <c r="AB14" s="16"/>
      <c r="AC14" s="16"/>
      <c r="AD14" s="16">
        <f>-K16</f>
        <v>6432.337815388717</v>
      </c>
      <c r="AE14" s="16">
        <f>-L16</f>
        <v>254.62152042314653</v>
      </c>
      <c r="AF14" s="16"/>
      <c r="AG14" s="21">
        <f>-(N14+S14)</f>
        <v>298.00465362931936</v>
      </c>
      <c r="AH14" s="21"/>
    </row>
    <row r="15" spans="1:34" x14ac:dyDescent="0.35"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23">
        <f t="shared" si="0"/>
        <v>0</v>
      </c>
      <c r="O15" s="22" t="s">
        <v>76</v>
      </c>
      <c r="P15" s="67" t="s">
        <v>77</v>
      </c>
      <c r="Q15" s="66"/>
      <c r="R15" s="66"/>
      <c r="S15" s="24">
        <f t="shared" si="1"/>
        <v>66.408319137878095</v>
      </c>
      <c r="T15" s="37"/>
      <c r="U15" s="61"/>
      <c r="V15" s="14"/>
      <c r="W15" s="14"/>
      <c r="X15" s="14"/>
      <c r="Y15" s="14"/>
      <c r="Z15" s="14"/>
      <c r="AA15" s="14"/>
      <c r="AB15" s="14">
        <f>I16*-1</f>
        <v>66.408319137878095</v>
      </c>
      <c r="AC15" s="14"/>
      <c r="AD15" s="14"/>
      <c r="AE15" s="14"/>
      <c r="AF15" s="14"/>
      <c r="AG15" s="14"/>
      <c r="AH15" s="14"/>
    </row>
    <row r="16" spans="1:34" x14ac:dyDescent="0.35">
      <c r="C16" s="14">
        <f t="shared" ref="C16:M16" si="4">SUM(C17:C19)</f>
        <v>-1378.4167524975403</v>
      </c>
      <c r="D16" s="14">
        <f t="shared" si="4"/>
        <v>-1.5911251247153169</v>
      </c>
      <c r="E16" s="14">
        <f t="shared" si="4"/>
        <v>-8768.6926168061818</v>
      </c>
      <c r="F16" s="14">
        <f t="shared" si="4"/>
        <v>-2743.1816184760582</v>
      </c>
      <c r="G16" s="14">
        <f t="shared" si="4"/>
        <v>0</v>
      </c>
      <c r="H16" s="14">
        <f t="shared" si="4"/>
        <v>0</v>
      </c>
      <c r="I16" s="14">
        <f t="shared" si="4"/>
        <v>-66.408319137878095</v>
      </c>
      <c r="J16" s="14">
        <f t="shared" si="4"/>
        <v>-655.92111387012471</v>
      </c>
      <c r="K16" s="14">
        <f t="shared" si="4"/>
        <v>-6432.337815388717</v>
      </c>
      <c r="L16" s="14">
        <f t="shared" si="4"/>
        <v>-254.62152042314653</v>
      </c>
      <c r="M16" s="14">
        <f t="shared" si="4"/>
        <v>0</v>
      </c>
      <c r="N16" s="23">
        <f>' KF OECD Asia Oceania'!H5</f>
        <v>-20301.262352000002</v>
      </c>
      <c r="O16" s="10" t="s">
        <v>78</v>
      </c>
      <c r="P16" s="71" t="s">
        <v>79</v>
      </c>
      <c r="Q16" s="71"/>
      <c r="R16" s="71"/>
      <c r="S16" s="24">
        <f t="shared" si="1"/>
        <v>13978.979761600001</v>
      </c>
      <c r="T16" s="37"/>
      <c r="U16" s="61"/>
      <c r="V16" s="14"/>
      <c r="W16" s="14"/>
      <c r="X16" s="14"/>
      <c r="Y16" s="14"/>
      <c r="Z16" s="14"/>
      <c r="AA16" s="14"/>
      <c r="AB16" s="14"/>
      <c r="AC16" s="14"/>
      <c r="AD16" s="14"/>
      <c r="AE16" s="14"/>
      <c r="AF16" s="14">
        <f>SUM(AF17:AF19)</f>
        <v>13978.979761600001</v>
      </c>
      <c r="AG16" s="14">
        <f t="shared" ref="AG16:AH16" si="5">SUM(AG17:AG19)</f>
        <v>6322.1911201243602</v>
      </c>
      <c r="AH16" s="14">
        <f t="shared" si="5"/>
        <v>953.73158261767151</v>
      </c>
    </row>
    <row r="17" spans="3:34" x14ac:dyDescent="0.35">
      <c r="C17" s="25">
        <f>AF17*' KF OECD Asia Oceania'!H15/T17*' KF OECD Asia Oceania'!H139/' KF OECD Asia Oceania'!H$139*-1</f>
        <v>-1348.4366714824223</v>
      </c>
      <c r="D17" s="25">
        <f>AF17*' KF OECD Asia Oceania'!H16/T17*' KF OECD Asia Oceania'!H139/' KF OECD Asia Oceania'!H$139*-1</f>
        <v>-1.5911251247153169</v>
      </c>
      <c r="E17" s="25">
        <f>AF17*' KF OECD Asia Oceania'!H17/T17*' KF OECD Asia Oceania'!H139/' KF OECD Asia Oceania'!H$139*-1</f>
        <v>-1067.8124455392108</v>
      </c>
      <c r="F17" s="25">
        <f>AF17*' KF OECD Asia Oceania'!H18/T17*' KF OECD Asia Oceania'!H139/' KF OECD Asia Oceania'!H$139*-1</f>
        <v>-1153.0632548529049</v>
      </c>
      <c r="G17" s="25"/>
      <c r="H17" s="25"/>
      <c r="I17" s="25">
        <f>AF17*' KF OECD Asia Oceania'!H19/T17*' KF OECD Asia Oceania'!H142/' KF OECD Asia Oceania'!H$142*-1</f>
        <v>-4.8571188017625451</v>
      </c>
      <c r="J17" s="25">
        <f>AF17*' KF OECD Asia Oceania'!H20*' KF OECD Asia Oceania'!H139/T17/' KF OECD Asia Oceania'!H$139*-1</f>
        <v>-424.41169116090651</v>
      </c>
      <c r="K17" s="25">
        <f>AF17*' KF OECD Asia Oceania'!H21*' KF OECD Asia Oceania'!H141/T17/' KF OECD Asia Oceania'!H$141*-1</f>
        <v>-2617.1914715876551</v>
      </c>
      <c r="L17" s="25">
        <f>AF17*' KF OECD Asia Oceania'!H22*' KF OECD Asia Oceania'!H142/T17/' KF OECD Asia Oceania'!H$142*-1</f>
        <v>-132.39835906183765</v>
      </c>
      <c r="M17" s="25"/>
      <c r="N17" s="23">
        <f>SUM(C17:L17)</f>
        <v>-6749.7621376114148</v>
      </c>
      <c r="O17" s="6" t="s">
        <v>80</v>
      </c>
      <c r="P17" s="64" t="s">
        <v>81</v>
      </c>
      <c r="Q17" s="69" t="s">
        <v>79</v>
      </c>
      <c r="R17" s="69"/>
      <c r="S17" s="24">
        <f t="shared" si="1"/>
        <v>5819.839526400001</v>
      </c>
      <c r="T17" s="37">
        <f>(' KF OECD Asia Oceania'!H15+' KF OECD Asia Oceania'!H16+' KF OECD Asia Oceania'!H17+' KF OECD Asia Oceania'!H18+' KF OECD Asia Oceania'!H20)*' KF OECD Asia Oceania'!H139+(' KF OECD Asia Oceania'!H19+' KF OECD Asia Oceania'!H22)*' KF OECD Asia Oceania'!H142+' KF OECD Asia Oceania'!H21*' KF OECD Asia Oceania'!H141</f>
        <v>0.86222883232734304</v>
      </c>
      <c r="U17" s="61"/>
      <c r="V17" s="25"/>
      <c r="W17" s="25"/>
      <c r="X17" s="25"/>
      <c r="Y17" s="25"/>
      <c r="Z17" s="25"/>
      <c r="AA17" s="25"/>
      <c r="AB17" s="25"/>
      <c r="AC17" s="25"/>
      <c r="AD17" s="25"/>
      <c r="AE17" s="25"/>
      <c r="AF17" s="25">
        <f>' KF OECD Asia Oceania'!H5*' KF OECD Asia Oceania'!H7*((' KF OECD Asia Oceania'!G15+' KF OECD Asia Oceania'!G16+' KF OECD Asia Oceania'!G17+' KF OECD Asia Oceania'!G18+' KF OECD Asia Oceania'!G20)*' KF OECD Asia Oceania'!G139+(' KF OECD Asia Oceania'!G19+' KF OECD Asia Oceania'!G22)*' KF OECD Asia Oceania'!G142+' KF OECD Asia Oceania'!G21*' KF OECD Asia Oceania'!G141)*-1</f>
        <v>5819.839526400001</v>
      </c>
      <c r="AG17" s="25">
        <f>(S17+SUM(C17:M17))*-1</f>
        <v>929.92261121141382</v>
      </c>
      <c r="AH17" s="29">
        <f>-(C17*Emissionsfaktorer!$B$2+D17*Emissionsfaktorer!$B$3+E17*Emissionsfaktorer!$B$4+F17*Emissionsfaktorer!$B$5+G17*Emissionsfaktorer!$B$6+H17*Emissionsfaktorer!$B$7+I17*Emissionsfaktorer!$B$8+J17*Emissionsfaktorer!$B$9+K17*Emissionsfaktorer!$B$10+L17*Emissionsfaktorer!$B$11+M17*Emissionsfaktorer!$B$12)</f>
        <v>274.97983517842573</v>
      </c>
    </row>
    <row r="18" spans="3:34" x14ac:dyDescent="0.35">
      <c r="C18" s="25">
        <f>AF18*' KF OECD Asia Oceania'!H24/T18*' KF OECD Asia Oceania'!H140/' KF OECD Asia Oceania'!H$140*-1</f>
        <v>-4.1872000000000006E-2</v>
      </c>
      <c r="D18" s="25"/>
      <c r="E18" s="25">
        <f>AF18*' KF OECD Asia Oceania'!H25/T18*' KF OECD Asia Oceania'!H140/' KF OECD Asia Oceania'!H$140*-1</f>
        <v>-6110.255344000002</v>
      </c>
      <c r="F18" s="25">
        <f>AF18*' KF OECD Asia Oceania'!H26/T18*' KF OECD Asia Oceania'!H140/' KF OECD Asia Oceania'!H$140*-1</f>
        <v>-69.968112000000005</v>
      </c>
      <c r="G18" s="25"/>
      <c r="H18" s="25"/>
      <c r="I18" s="25">
        <f>AF18*' KF OECD Asia Oceania'!H27/T18*' KF OECD Asia Oceania'!H142/' KF OECD Asia Oceania'!H$142*-1</f>
        <v>0</v>
      </c>
      <c r="J18" s="25">
        <f>AF18*' KF OECD Asia Oceania'!H28/T18*' KF OECD Asia Oceania'!H140/' KF OECD Asia Oceania'!H$140*-1</f>
        <v>-49.953296000000009</v>
      </c>
      <c r="K18" s="25">
        <f>AF18*' KF OECD Asia Oceania'!H29/T18*' KF OECD Asia Oceania'!H141/' KF OECD Asia Oceania'!H$141*-1</f>
        <v>-95.21692800000001</v>
      </c>
      <c r="L18" s="25">
        <f>AF18*' KF OECD Asia Oceania'!H30/T18*' KF OECD Asia Oceania'!H142/' KF OECD Asia Oceania'!H$142*-1</f>
        <v>0</v>
      </c>
      <c r="M18" s="25"/>
      <c r="N18" s="23">
        <f>SUM(C18:L18)</f>
        <v>-6325.4355520000008</v>
      </c>
      <c r="O18" s="6" t="s">
        <v>82</v>
      </c>
      <c r="P18" s="64" t="s">
        <v>83</v>
      </c>
      <c r="Q18" s="69" t="s">
        <v>79</v>
      </c>
      <c r="R18" s="69"/>
      <c r="S18" s="24">
        <f t="shared" si="1"/>
        <v>1959.5216688000003</v>
      </c>
      <c r="T18" s="37">
        <f>(' KF OECD Asia Oceania'!H24+' KF OECD Asia Oceania'!H25+' KF OECD Asia Oceania'!H26+' KF OECD Asia Oceania'!H28)*' KF OECD Asia Oceania'!H140+(' KF OECD Asia Oceania'!H27+' KF OECD Asia Oceania'!H30)*' KF OECD Asia Oceania'!H142+' KF OECD Asia Oceania'!H29*' KF OECD Asia Oceania'!H141</f>
        <v>0.3097844650682483</v>
      </c>
      <c r="U18" s="61"/>
      <c r="V18" s="25"/>
      <c r="W18" s="25"/>
      <c r="X18" s="25"/>
      <c r="Y18" s="25"/>
      <c r="Z18" s="25"/>
      <c r="AA18" s="25"/>
      <c r="AB18" s="25"/>
      <c r="AC18" s="25"/>
      <c r="AD18" s="25"/>
      <c r="AE18" s="25"/>
      <c r="AF18" s="25">
        <f>' KF OECD Asia Oceania'!H5*' KF OECD Asia Oceania'!H8*-1*((' KF OECD Asia Oceania'!G24+' KF OECD Asia Oceania'!G25+' KF OECD Asia Oceania'!G26+' KF OECD Asia Oceania'!G28)*' KF OECD Asia Oceania'!G140+(' KF OECD Asia Oceania'!G27+' KF OECD Asia Oceania'!G30)*' KF OECD Asia Oceania'!G142+' KF OECD Asia Oceania'!G29*' KF OECD Asia Oceania'!G141)</f>
        <v>1959.5216688000003</v>
      </c>
      <c r="AG18" s="25">
        <f>(S18+SUM(C18:M18))*-1</f>
        <v>4365.9138832000008</v>
      </c>
      <c r="AH18" s="29">
        <f>-(C18*Emissionsfaktorer!$B$2+D18*Emissionsfaktorer!$B$3+E18*Emissionsfaktorer!$B$4+F18*Emissionsfaktorer!$B$5+G18*Emissionsfaktorer!$B$6+H18*Emissionsfaktorer!$B$7+I18*Emissionsfaktorer!$B$8+J18*Emissionsfaktorer!$B$9+K18*Emissionsfaktorer!$B$10+L18*Emissionsfaktorer!$B$11+M18*Emissionsfaktorer!$B$12)</f>
        <v>468.37156636800017</v>
      </c>
    </row>
    <row r="19" spans="3:34" x14ac:dyDescent="0.35">
      <c r="C19" s="25">
        <f>SUM(C20:C24)</f>
        <v>-29.938209015118034</v>
      </c>
      <c r="D19" s="25">
        <f t="shared" ref="D19:M19" si="6">SUM(D20:D24)</f>
        <v>0</v>
      </c>
      <c r="E19" s="25">
        <f t="shared" si="6"/>
        <v>-1590.6248272669695</v>
      </c>
      <c r="F19" s="25">
        <f t="shared" si="6"/>
        <v>-1520.1502516231535</v>
      </c>
      <c r="G19" s="25">
        <f t="shared" si="6"/>
        <v>0</v>
      </c>
      <c r="H19" s="25">
        <f t="shared" si="6"/>
        <v>0</v>
      </c>
      <c r="I19" s="25">
        <f t="shared" si="6"/>
        <v>-61.551200336115549</v>
      </c>
      <c r="J19" s="25">
        <f t="shared" si="6"/>
        <v>-181.55612670921815</v>
      </c>
      <c r="K19" s="25">
        <f t="shared" si="6"/>
        <v>-3719.9294158010625</v>
      </c>
      <c r="L19" s="25">
        <f t="shared" si="6"/>
        <v>-122.22316136130887</v>
      </c>
      <c r="M19" s="25">
        <f t="shared" si="6"/>
        <v>0</v>
      </c>
      <c r="N19" s="23">
        <f>SUM(N20:N24)</f>
        <v>-7225.9731921129451</v>
      </c>
      <c r="O19" s="6" t="s">
        <v>84</v>
      </c>
      <c r="P19" s="64" t="s">
        <v>85</v>
      </c>
      <c r="Q19" s="69" t="s">
        <v>79</v>
      </c>
      <c r="R19" s="69"/>
      <c r="S19" s="24">
        <f t="shared" si="1"/>
        <v>6199.6185664000004</v>
      </c>
      <c r="T19" s="37">
        <v>0.8</v>
      </c>
      <c r="U19" s="61"/>
      <c r="V19" s="25">
        <f>SUM(V20:V24)</f>
        <v>0</v>
      </c>
      <c r="W19" s="25">
        <f t="shared" ref="W19:AH19" si="7">SUM(W20:W24)</f>
        <v>0</v>
      </c>
      <c r="X19" s="25">
        <f t="shared" si="7"/>
        <v>0</v>
      </c>
      <c r="Y19" s="25">
        <f t="shared" si="7"/>
        <v>0</v>
      </c>
      <c r="Z19" s="25">
        <f t="shared" si="7"/>
        <v>0</v>
      </c>
      <c r="AA19" s="25">
        <f t="shared" si="7"/>
        <v>0</v>
      </c>
      <c r="AB19" s="25">
        <f t="shared" si="7"/>
        <v>0</v>
      </c>
      <c r="AC19" s="25">
        <f t="shared" si="7"/>
        <v>0</v>
      </c>
      <c r="AD19" s="25">
        <f t="shared" si="7"/>
        <v>0</v>
      </c>
      <c r="AE19" s="25">
        <f t="shared" si="7"/>
        <v>0</v>
      </c>
      <c r="AF19" s="25">
        <f t="shared" si="7"/>
        <v>6199.6185664000004</v>
      </c>
      <c r="AG19" s="25">
        <f t="shared" si="7"/>
        <v>1026.3546257129451</v>
      </c>
      <c r="AH19" s="25">
        <f t="shared" si="7"/>
        <v>210.38018107124563</v>
      </c>
    </row>
    <row r="20" spans="3:34" x14ac:dyDescent="0.35">
      <c r="C20" s="92">
        <f>AF20*' KF OECD Asia Oceania'!H$32/T20*' KF OECD Asia Oceania'!H$139/' KF OECD Asia Oceania'!H$139*-1</f>
        <v>-19.512081015118035</v>
      </c>
      <c r="D20" s="92"/>
      <c r="E20" s="92">
        <f>AF20*' KF OECD Asia Oceania'!H33/T20*' KF OECD Asia Oceania'!H$140/' KF OECD Asia Oceania'!H$140*-1</f>
        <v>-627.06636326696923</v>
      </c>
      <c r="F20" s="92">
        <f>AF20*' KF OECD Asia Oceania'!H$34/T20*' KF OECD Asia Oceania'!H$140/' KF OECD Asia Oceania'!H$140*-1</f>
        <v>-915.05797962315341</v>
      </c>
      <c r="G20" s="92"/>
      <c r="H20" s="92"/>
      <c r="I20" s="92">
        <f>AF20*' KF OECD Asia Oceania'!H$35/T20*' KF OECD Asia Oceania'!H$142/' KF OECD Asia Oceania'!H$142*-1</f>
        <v>-46.058560336115541</v>
      </c>
      <c r="J20" s="92">
        <f>AF20*' KF OECD Asia Oceania'!H$36/T20*' KF OECD Asia Oceania'!H$140/' KF OECD Asia Oceania'!H$140*-1</f>
        <v>-62.304670709218108</v>
      </c>
      <c r="K20" s="92">
        <f>AF20*' KF OECD Asia Oceania'!H$37/T20*' KF OECD Asia Oceania'!H$141/' KF OECD Asia Oceania'!H$141*-1</f>
        <v>-1507.4966798010616</v>
      </c>
      <c r="L20" s="92">
        <f>AF20*' KF OECD Asia Oceania'!H$38/T20*' KF OECD Asia Oceania'!H$142/' KF OECD Asia Oceania'!H$142*-1</f>
        <v>-86.883193361308855</v>
      </c>
      <c r="M20" s="92"/>
      <c r="N20" s="23">
        <f>SUM(C20:L20)</f>
        <v>-3264.3795281129446</v>
      </c>
      <c r="O20" s="84" t="s">
        <v>86</v>
      </c>
      <c r="P20" s="85" t="s">
        <v>87</v>
      </c>
      <c r="Q20" s="86" t="s">
        <v>85</v>
      </c>
      <c r="R20" s="86"/>
      <c r="S20" s="24">
        <f t="shared" si="1"/>
        <v>2864.2164751999999</v>
      </c>
      <c r="T20" s="37">
        <f>(' KF OECD Asia Oceania'!H32+' KF OECD Asia Oceania'!H33+' KF OECD Asia Oceania'!H34+' KF OECD Asia Oceania'!H36)*' KF OECD Asia Oceania'!H139+(' KF OECD Asia Oceania'!H35+' KF OECD Asia Oceania'!H38)*' KF OECD Asia Oceania'!H142+' KF OECD Asia Oceania'!H37*' KF OECD Asia Oceania'!H141</f>
        <v>0.87741527923860341</v>
      </c>
      <c r="U20" s="61"/>
      <c r="V20" s="92"/>
      <c r="W20" s="92"/>
      <c r="X20" s="92"/>
      <c r="Y20" s="92"/>
      <c r="Z20" s="92"/>
      <c r="AA20" s="92"/>
      <c r="AB20" s="92"/>
      <c r="AC20" s="92"/>
      <c r="AD20" s="92"/>
      <c r="AE20" s="92"/>
      <c r="AF20" s="92">
        <f>' KF OECD Asia Oceania'!H5*' KF OECD Asia Oceania'!H9*((' KF OECD Asia Oceania'!G32+' KF OECD Asia Oceania'!G33+' KF OECD Asia Oceania'!G34+' KF OECD Asia Oceania'!G36)*' KF OECD Asia Oceania'!G139+(' KF OECD Asia Oceania'!G35+' KF OECD Asia Oceania'!G38)*' KF OECD Asia Oceania'!G142+' KF OECD Asia Oceania'!G37*' KF OECD Asia Oceania'!G141)*-1</f>
        <v>2864.2164751999999</v>
      </c>
      <c r="AG20" s="92">
        <f>(N20+AF20)*-1</f>
        <v>400.16305291294475</v>
      </c>
      <c r="AH20" s="87">
        <f>-(C20*Emissionsfaktorer!$B$2+D20*Emissionsfaktorer!$B$3+E20*Emissionsfaktorer!$B$4+F20*Emissionsfaktorer!$B$5+G20*Emissionsfaktorer!$B$6+H20*Emissionsfaktorer!$B$7+I20*Emissionsfaktorer!$B$8+J20*Emissionsfaktorer!$B$9+K20*Emissionsfaktorer!$B$10+L20*Emissionsfaktorer!$B$11+M20*Emissionsfaktorer!$B$12)</f>
        <v>101.66899614324562</v>
      </c>
    </row>
    <row r="21" spans="3:34" x14ac:dyDescent="0.35">
      <c r="C21" s="92">
        <f>AF21*' KF OECD Asia Oceania'!H$40/T21*' KF OECD Asia Oceania'!H$139/' KF OECD Asia Oceania'!H$139*-1</f>
        <v>-8.5418880000000019</v>
      </c>
      <c r="D21" s="92"/>
      <c r="E21" s="92">
        <f>AF21*' KF OECD Asia Oceania'!H41/T21*' KF OECD Asia Oceania'!H$140/' KF OECD Asia Oceania'!H$140*-1</f>
        <v>-551.70547200000021</v>
      </c>
      <c r="F21" s="92">
        <f>AF21*' KF OECD Asia Oceania'!H$42/T21*' KF OECD Asia Oceania'!H$140/' KF OECD Asia Oceania'!H$140*-1</f>
        <v>-598.68585600000006</v>
      </c>
      <c r="G21" s="92"/>
      <c r="H21" s="92"/>
      <c r="I21" s="92">
        <f>AF21*' KF OECD Asia Oceania'!H$43/T21*' KF OECD Asia Oceania'!H$142/' KF OECD Asia Oceania'!H$142*-1</f>
        <v>-12.812832000000004</v>
      </c>
      <c r="J21" s="92">
        <f>AF21*' KF OECD Asia Oceania'!H$44/T21*' KF OECD Asia Oceania'!H$140/' KF OECD Asia Oceania'!H$140*-1</f>
        <v>-93.248944000000037</v>
      </c>
      <c r="K21" s="92">
        <f>AF21*' KF OECD Asia Oceania'!H$45/T21*' KF OECD Asia Oceania'!H$141/' KF OECD Asia Oceania'!H$141*-1</f>
        <v>-2097.1172480000005</v>
      </c>
      <c r="L21" s="92">
        <f>AF21*' KF OECD Asia Oceania'!H$46/T21*' KF OECD Asia Oceania'!H$142/' KF OECD Asia Oceania'!H$142*-1</f>
        <v>-35.339968000000013</v>
      </c>
      <c r="M21" s="92"/>
      <c r="N21" s="23">
        <f t="shared" ref="N21:N24" si="8">SUM(C21:L21)</f>
        <v>-3397.4522080000011</v>
      </c>
      <c r="O21" s="84" t="s">
        <v>88</v>
      </c>
      <c r="P21" s="85" t="s">
        <v>89</v>
      </c>
      <c r="Q21" s="86" t="s">
        <v>85</v>
      </c>
      <c r="R21" s="86"/>
      <c r="S21" s="24">
        <f t="shared" si="1"/>
        <v>3042.1599136000004</v>
      </c>
      <c r="T21" s="37">
        <f>(' KF OECD Asia Oceania'!H40+' KF OECD Asia Oceania'!H41+' KF OECD Asia Oceania'!H42+' KF OECD Asia Oceania'!H44)*' KF OECD Asia Oceania'!H139+(' KF OECD Asia Oceania'!H43+' KF OECD Asia Oceania'!H46)*' KF OECD Asia Oceania'!H142+' KF OECD Asia Oceania'!H45*' KF OECD Asia Oceania'!H141</f>
        <v>0.89542390219253365</v>
      </c>
      <c r="U21" s="61"/>
      <c r="V21" s="92"/>
      <c r="W21" s="92"/>
      <c r="X21" s="92"/>
      <c r="Y21" s="92"/>
      <c r="Z21" s="92"/>
      <c r="AA21" s="92"/>
      <c r="AB21" s="92"/>
      <c r="AC21" s="92"/>
      <c r="AD21" s="92"/>
      <c r="AE21" s="92"/>
      <c r="AF21" s="92">
        <f>' KF OECD Asia Oceania'!H5*' KF OECD Asia Oceania'!H10*((' KF OECD Asia Oceania'!G40+' KF OECD Asia Oceania'!G41+' KF OECD Asia Oceania'!G42+' KF OECD Asia Oceania'!G44)*' KF OECD Asia Oceania'!G139+(' KF OECD Asia Oceania'!G43+' KF OECD Asia Oceania'!G46)*' KF OECD Asia Oceania'!G142+' KF OECD Asia Oceania'!G45*' KF OECD Asia Oceania'!G141)*-1</f>
        <v>3042.1599136000004</v>
      </c>
      <c r="AG21" s="92">
        <f t="shared" ref="AG21:AG24" si="9">(N21+AF21)*-1</f>
        <v>355.29229440000063</v>
      </c>
      <c r="AH21" s="87">
        <f>-(C21*Emissionsfaktorer!$B$2+D21*Emissionsfaktorer!$B$3+E21*Emissionsfaktorer!$B$4+F21*Emissionsfaktorer!$B$5+G21*Emissionsfaktorer!$B$6+H21*Emissionsfaktorer!$B$7+I21*Emissionsfaktorer!$B$8+J21*Emissionsfaktorer!$B$9+K21*Emissionsfaktorer!$B$10+L21*Emissionsfaktorer!$B$11+M21*Emissionsfaktorer!$B$12)</f>
        <v>76.866189024000022</v>
      </c>
    </row>
    <row r="22" spans="3:34" x14ac:dyDescent="0.35">
      <c r="C22" s="92">
        <f>AF22*' KF OECD Asia Oceania'!H$48/T22*' KF OECD Asia Oceania'!H$139/' KF OECD Asia Oceania'!H$139*-1</f>
        <v>-1.8842399999999999</v>
      </c>
      <c r="D22" s="92"/>
      <c r="E22" s="92">
        <f>AF22*' KF OECD Asia Oceania'!H49/T22*' KF OECD Asia Oceania'!H$140/' KF OECD Asia Oceania'!H$140*-1</f>
        <v>-257.13595199999997</v>
      </c>
      <c r="F22" s="92">
        <f>AF22*' KF OECD Asia Oceania'!H$50/T22*' KF OECD Asia Oceania'!H$140/' KF OECD Asia Oceania'!H$140*-1</f>
        <v>-2.3867039999999999</v>
      </c>
      <c r="G22" s="92"/>
      <c r="H22" s="92"/>
      <c r="I22" s="92">
        <f>AF22*' KF OECD Asia Oceania'!H$51/T22*' KF OECD Asia Oceania'!H$142/' KF OECD Asia Oceania'!H$142*-1</f>
        <v>-2.2610879999999995</v>
      </c>
      <c r="J22" s="92">
        <f>AF22*' KF OECD Asia Oceania'!H$52/T22*' KF OECD Asia Oceania'!H$140/' KF OECD Asia Oceania'!H$140*-1</f>
        <v>-2.9310399999999999</v>
      </c>
      <c r="K22" s="92">
        <f>AF22*' KF OECD Asia Oceania'!H$53/T22*' KF OECD Asia Oceania'!H$141/' KF OECD Asia Oceania'!H$141*-1</f>
        <v>-86.926272000000012</v>
      </c>
      <c r="L22" s="92">
        <f>AF22*' KF OECD Asia Oceania'!H$54/T22*' KF OECD Asia Oceania'!H$142/' KF OECD Asia Oceania'!H$142*-1</f>
        <v>0</v>
      </c>
      <c r="M22" s="92"/>
      <c r="N22" s="23">
        <f t="shared" si="8"/>
        <v>-353.52529599999991</v>
      </c>
      <c r="O22" s="84" t="s">
        <v>90</v>
      </c>
      <c r="P22" s="85" t="s">
        <v>91</v>
      </c>
      <c r="Q22" s="86" t="s">
        <v>85</v>
      </c>
      <c r="R22" s="86"/>
      <c r="S22" s="24">
        <f t="shared" si="1"/>
        <v>164.14242719999999</v>
      </c>
      <c r="T22" s="37">
        <f>(' KF OECD Asia Oceania'!H48+' KF OECD Asia Oceania'!H49+' KF OECD Asia Oceania'!H50+' KF OECD Asia Oceania'!H52)*' KF OECD Asia Oceania'!H140+(' KF OECD Asia Oceania'!H51+' KF OECD Asia Oceania'!H54)*' KF OECD Asia Oceania'!H142+' KF OECD Asia Oceania'!H53*' KF OECD Asia Oceania'!H141</f>
        <v>0.4643017884638162</v>
      </c>
      <c r="U22" s="61"/>
      <c r="V22" s="92"/>
      <c r="W22" s="92"/>
      <c r="X22" s="92"/>
      <c r="Y22" s="92"/>
      <c r="Z22" s="92"/>
      <c r="AA22" s="92"/>
      <c r="AB22" s="92"/>
      <c r="AC22" s="92"/>
      <c r="AD22" s="92"/>
      <c r="AE22" s="92"/>
      <c r="AF22" s="92">
        <f>((' KF OECD Asia Oceania'!G48+' KF OECD Asia Oceania'!G49+' KF OECD Asia Oceania'!G50+' KF OECD Asia Oceania'!G52)*' KF OECD Asia Oceania'!G140+(' KF OECD Asia Oceania'!G51+' KF OECD Asia Oceania'!G54)*' KF OECD Asia Oceania'!G142+' KF OECD Asia Oceania'!G53*' KF OECD Asia Oceania'!G141)*' KF OECD Asia Oceania'!H11*' KF OECD Asia Oceania'!H5*-1</f>
        <v>164.14242719999999</v>
      </c>
      <c r="AG22" s="92">
        <f t="shared" si="9"/>
        <v>189.38286879999993</v>
      </c>
      <c r="AH22" s="87">
        <f>-(C22*Emissionsfaktorer!$B$2+D22*Emissionsfaktorer!$B$3+E22*Emissionsfaktorer!$B$4+F22*Emissionsfaktorer!$B$5+G22*Emissionsfaktorer!$B$6+H22*Emissionsfaktorer!$B$7+I22*Emissionsfaktorer!$B$8+J22*Emissionsfaktorer!$B$9+K22*Emissionsfaktorer!$B$10+L22*Emissionsfaktorer!$B$11+M22*Emissionsfaktorer!$B$12)</f>
        <v>19.857377279999998</v>
      </c>
    </row>
    <row r="23" spans="3:34" x14ac:dyDescent="0.35">
      <c r="C23" s="92">
        <f>AF23*' KF OECD Asia Oceania'!H$56/T23*' KF OECD Asia Oceania'!H$139/' KF OECD Asia Oceania'!H$139*-1</f>
        <v>0</v>
      </c>
      <c r="D23" s="92"/>
      <c r="E23" s="92">
        <f>AF23*' KF OECD Asia Oceania'!H57/T23*' KF OECD Asia Oceania'!H$140/' KF OECD Asia Oceania'!H$140*-1</f>
        <v>-87.428735999999986</v>
      </c>
      <c r="F23" s="92">
        <f>AF23*' KF OECD Asia Oceania'!H$58/T23*' KF OECD Asia Oceania'!H$140/' KF OECD Asia Oceania'!H$140*-1</f>
        <v>-4.1871999999999993E-2</v>
      </c>
      <c r="G23" s="92"/>
      <c r="H23" s="92"/>
      <c r="I23" s="92">
        <f>AF23*' KF OECD Asia Oceania'!H$59/T23*' KF OECD Asia Oceania'!H$142/' KF OECD Asia Oceania'!H$142*-1</f>
        <v>-0.12561599999999998</v>
      </c>
      <c r="J23" s="92">
        <f>AF23*' KF OECD Asia Oceania'!H$60/T23*' KF OECD Asia Oceania'!H$140/' KF OECD Asia Oceania'!H$140*-1</f>
        <v>0</v>
      </c>
      <c r="K23" s="92">
        <f>AF23*' KF OECD Asia Oceania'!H$61/T23*' KF OECD Asia Oceania'!H$141/' KF OECD Asia Oceania'!H$141*-1</f>
        <v>-12.017263999999999</v>
      </c>
      <c r="L23" s="92">
        <f>AF23*' KF OECD Asia Oceania'!H$62/T23*' KF OECD Asia Oceania'!H$142/' KF OECD Asia Oceania'!H$142*-1</f>
        <v>0</v>
      </c>
      <c r="M23" s="92"/>
      <c r="N23" s="23">
        <f t="shared" si="8"/>
        <v>-99.613487999999975</v>
      </c>
      <c r="O23" s="84" t="s">
        <v>92</v>
      </c>
      <c r="P23" s="85" t="s">
        <v>93</v>
      </c>
      <c r="Q23" s="86" t="s">
        <v>85</v>
      </c>
      <c r="R23" s="86"/>
      <c r="S23" s="24">
        <f t="shared" si="1"/>
        <v>37.783199199999984</v>
      </c>
      <c r="T23" s="37">
        <f>(' KF OECD Asia Oceania'!H56+' KF OECD Asia Oceania'!H57+' KF OECD Asia Oceania'!H58+' KF OECD Asia Oceania'!H60)*' KF OECD Asia Oceania'!H140+(' KF OECD Asia Oceania'!H59+' KF OECD Asia Oceania'!H62)*' KF OECD Asia Oceania'!H142+' KF OECD Asia Oceania'!H61*' KF OECD Asia Oceania'!H141</f>
        <v>0.37929802437999149</v>
      </c>
      <c r="U23" s="61"/>
      <c r="V23" s="92"/>
      <c r="W23" s="92"/>
      <c r="X23" s="92"/>
      <c r="Y23" s="92"/>
      <c r="Z23" s="92"/>
      <c r="AA23" s="92"/>
      <c r="AB23" s="92"/>
      <c r="AC23" s="92"/>
      <c r="AD23" s="92"/>
      <c r="AE23" s="92"/>
      <c r="AF23" s="92">
        <f>((' KF OECD Asia Oceania'!G56+' KF OECD Asia Oceania'!G57+' KF OECD Asia Oceania'!G58+' KF OECD Asia Oceania'!G60)*' KF OECD Asia Oceania'!G140+(' KF OECD Asia Oceania'!G59+' KF OECD Asia Oceania'!G62)*' KF OECD Asia Oceania'!G142+' KF OECD Asia Oceania'!G61*' KF OECD Asia Oceania'!G141)*' KF OECD Asia Oceania'!H5*' KF OECD Asia Oceania'!H12*-1</f>
        <v>37.783199199999984</v>
      </c>
      <c r="AG23" s="92">
        <f t="shared" si="9"/>
        <v>61.830288799999991</v>
      </c>
      <c r="AH23" s="87">
        <f>-(C23*Emissionsfaktorer!$B$2+D23*Emissionsfaktorer!$B$3+E23*Emissionsfaktorer!$B$4+F23*Emissionsfaktorer!$B$5+G23*Emissionsfaktorer!$B$6+H23*Emissionsfaktorer!$B$7+I23*Emissionsfaktorer!$B$8+J23*Emissionsfaktorer!$B$9+K23*Emissionsfaktorer!$B$10+L23*Emissionsfaktorer!$B$11+M23*Emissionsfaktorer!$B$12)</f>
        <v>6.6469706399999993</v>
      </c>
    </row>
    <row r="24" spans="3:34" x14ac:dyDescent="0.35">
      <c r="C24" s="92">
        <f>AF24*' KF OECD Asia Oceania'!H$64/T24*' KF OECD Asia Oceania'!H$139/' KF OECD Asia Oceania'!H$139*-1</f>
        <v>0</v>
      </c>
      <c r="D24" s="92"/>
      <c r="E24" s="92">
        <f>AF24*' KF OECD Asia Oceania'!H65/T24*' KF OECD Asia Oceania'!H$140/' KF OECD Asia Oceania'!H$140*-1</f>
        <v>-67.288303999999997</v>
      </c>
      <c r="F24" s="92">
        <f>AF24*' KF OECD Asia Oceania'!H$66/T24*' KF OECD Asia Oceania'!H$140/' KF OECD Asia Oceania'!H$140*-1</f>
        <v>-3.97784</v>
      </c>
      <c r="G24" s="92"/>
      <c r="H24" s="92"/>
      <c r="I24" s="92">
        <f>AF24*' KF OECD Asia Oceania'!H$67/T24*' KF OECD Asia Oceania'!H$142/' KF OECD Asia Oceania'!H$142*-1</f>
        <v>-0.29310399999999998</v>
      </c>
      <c r="J24" s="92">
        <f>AF24*' KF OECD Asia Oceania'!H$68/T24*' KF OECD Asia Oceania'!H$140/' KF OECD Asia Oceania'!H$140*-1</f>
        <v>-23.071471999999996</v>
      </c>
      <c r="K24" s="92">
        <f>AF24*' KF OECD Asia Oceania'!H$69/T24*' KF OECD Asia Oceania'!H$141/' KF OECD Asia Oceania'!H$141*-1</f>
        <v>-16.371952</v>
      </c>
      <c r="L24" s="92">
        <f>AF24*' KF OECD Asia Oceania'!H$70/T24*' KF OECD Asia Oceania'!H$142/' KF OECD Asia Oceania'!H$142*-1</f>
        <v>0</v>
      </c>
      <c r="M24" s="92"/>
      <c r="N24" s="23">
        <f t="shared" si="8"/>
        <v>-111.00267199999999</v>
      </c>
      <c r="O24" s="84" t="s">
        <v>94</v>
      </c>
      <c r="P24" s="85" t="s">
        <v>95</v>
      </c>
      <c r="Q24" s="86" t="s">
        <v>85</v>
      </c>
      <c r="R24" s="86"/>
      <c r="S24" s="24">
        <f t="shared" si="1"/>
        <v>91.316551199999992</v>
      </c>
      <c r="T24" s="37">
        <f>(' KF OECD Asia Oceania'!H64+' KF OECD Asia Oceania'!H65+' KF OECD Asia Oceania'!H66+' KF OECD Asia Oceania'!H68)*' KF OECD Asia Oceania'!H139+(' KF OECD Asia Oceania'!H67+' KF OECD Asia Oceania'!H70)*' KF OECD Asia Oceania'!H142+' KF OECD Asia Oceania'!H69*' KF OECD Asia Oceania'!H141</f>
        <v>0.82265182949830251</v>
      </c>
      <c r="U24" s="61"/>
      <c r="V24" s="92"/>
      <c r="W24" s="92"/>
      <c r="X24" s="92"/>
      <c r="Y24" s="92"/>
      <c r="Z24" s="92"/>
      <c r="AA24" s="92"/>
      <c r="AB24" s="92"/>
      <c r="AC24" s="92"/>
      <c r="AD24" s="92"/>
      <c r="AE24" s="92"/>
      <c r="AF24" s="92">
        <f>((' KF OECD Asia Oceania'!G64+' KF OECD Asia Oceania'!G65+' KF OECD Asia Oceania'!G66+' KF OECD Asia Oceania'!G68)*' KF OECD Asia Oceania'!G139+(' KF OECD Asia Oceania'!G67+' KF OECD Asia Oceania'!G70)*' KF OECD Asia Oceania'!G142+' KF OECD Asia Oceania'!G69*' KF OECD Asia Oceania'!G141)*' KF OECD Asia Oceania'!H5*' KF OECD Asia Oceania'!H13*-1</f>
        <v>91.316551199999992</v>
      </c>
      <c r="AG24" s="92">
        <f t="shared" si="9"/>
        <v>19.686120799999998</v>
      </c>
      <c r="AH24" s="87">
        <f>-(C24*Emissionsfaktorer!$B$2+D24*Emissionsfaktorer!$B$3+E24*Emissionsfaktorer!$B$4+F24*Emissionsfaktorer!$B$5+G24*Emissionsfaktorer!$B$6+H24*Emissionsfaktorer!$B$7+I24*Emissionsfaktorer!$B$8+J24*Emissionsfaktorer!$B$9+K24*Emissionsfaktorer!$B$10+L24*Emissionsfaktorer!$B$11+M24*Emissionsfaktorer!$B$12)</f>
        <v>5.3406479839999994</v>
      </c>
    </row>
    <row r="25" spans="3:34" x14ac:dyDescent="0.35"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23">
        <f>N16</f>
        <v>-20301.262352000002</v>
      </c>
      <c r="O25" s="10" t="s">
        <v>11</v>
      </c>
      <c r="P25" s="71" t="s">
        <v>96</v>
      </c>
      <c r="Q25" s="71"/>
      <c r="R25" s="71"/>
      <c r="S25" s="24">
        <f t="shared" si="1"/>
        <v>13978.979761600001</v>
      </c>
      <c r="T25" s="37">
        <f>AF25/N25*-1</f>
        <v>0.68857687365548703</v>
      </c>
      <c r="U25" s="61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>
        <f>AF16</f>
        <v>13978.979761600001</v>
      </c>
      <c r="AG25" s="14">
        <f>-(S25+N25)</f>
        <v>6322.2825904000001</v>
      </c>
      <c r="AH25" s="14"/>
    </row>
    <row r="28" spans="3:34" x14ac:dyDescent="0.35">
      <c r="X28" s="95"/>
    </row>
    <row r="29" spans="3:34" x14ac:dyDescent="0.35">
      <c r="X29" s="95"/>
    </row>
    <row r="30" spans="3:34" x14ac:dyDescent="0.35">
      <c r="X30" s="95"/>
    </row>
  </sheetData>
  <pageMargins left="0.7" right="0.7" top="0.75" bottom="0.75" header="0.3" footer="0.3"/>
  <pageSetup paperSize="9" orientation="portrait" horizontalDpi="4294967293" verticalDpi="4294967293" r:id="rId1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 codeName="Ark70"/>
  <dimension ref="A1:AH30"/>
  <sheetViews>
    <sheetView zoomScale="130" zoomScaleNormal="130" workbookViewId="0">
      <selection activeCell="B9" sqref="B9"/>
    </sheetView>
  </sheetViews>
  <sheetFormatPr defaultRowHeight="14.5" x14ac:dyDescent="0.35"/>
  <cols>
    <col min="3" max="3" width="16.453125" customWidth="1"/>
    <col min="4" max="4" width="12.81640625" customWidth="1"/>
    <col min="5" max="5" width="12.54296875" customWidth="1"/>
    <col min="6" max="6" width="16.54296875" customWidth="1"/>
    <col min="10" max="10" width="12.54296875" customWidth="1"/>
    <col min="11" max="11" width="11.54296875" customWidth="1"/>
    <col min="14" max="14" width="10.81640625" customWidth="1"/>
    <col min="15" max="15" width="51.54296875" customWidth="1"/>
    <col min="16" max="18" width="15.81640625" customWidth="1"/>
    <col min="19" max="19" width="12.81640625" customWidth="1"/>
    <col min="24" max="24" width="14.1796875" bestFit="1" customWidth="1"/>
    <col min="33" max="34" width="11.26953125" customWidth="1"/>
  </cols>
  <sheetData>
    <row r="1" spans="1:34" ht="140" x14ac:dyDescent="0.35">
      <c r="B1" s="44" t="s">
        <v>0</v>
      </c>
      <c r="C1" s="3" t="s">
        <v>1</v>
      </c>
      <c r="D1" s="8" t="s">
        <v>2</v>
      </c>
      <c r="E1" s="2" t="s">
        <v>3</v>
      </c>
      <c r="F1" s="3" t="s">
        <v>4</v>
      </c>
      <c r="G1" s="1" t="s">
        <v>5</v>
      </c>
      <c r="H1" s="1" t="s">
        <v>6</v>
      </c>
      <c r="I1" s="1" t="s">
        <v>7</v>
      </c>
      <c r="J1" s="3" t="s">
        <v>8</v>
      </c>
      <c r="K1" s="2" t="s">
        <v>9</v>
      </c>
      <c r="L1" s="2" t="s">
        <v>10</v>
      </c>
      <c r="M1" s="17" t="s">
        <v>11</v>
      </c>
      <c r="N1" s="5" t="s">
        <v>12</v>
      </c>
      <c r="O1" s="4" t="s">
        <v>267</v>
      </c>
      <c r="P1" s="60"/>
      <c r="Q1" s="60"/>
      <c r="R1" s="12" t="s">
        <v>14</v>
      </c>
      <c r="S1" s="11" t="s">
        <v>15</v>
      </c>
      <c r="T1" s="12" t="s">
        <v>16</v>
      </c>
      <c r="U1" s="44" t="s">
        <v>17</v>
      </c>
      <c r="V1" s="3" t="s">
        <v>1</v>
      </c>
      <c r="W1" s="8" t="s">
        <v>2</v>
      </c>
      <c r="X1" s="9" t="s">
        <v>3</v>
      </c>
      <c r="Y1" s="3" t="s">
        <v>4</v>
      </c>
      <c r="Z1" s="1" t="s">
        <v>5</v>
      </c>
      <c r="AA1" s="1" t="s">
        <v>6</v>
      </c>
      <c r="AB1" s="1" t="s">
        <v>7</v>
      </c>
      <c r="AC1" s="3" t="s">
        <v>8</v>
      </c>
      <c r="AD1" s="2" t="s">
        <v>9</v>
      </c>
      <c r="AE1" s="2" t="s">
        <v>10</v>
      </c>
      <c r="AF1" s="17" t="s">
        <v>11</v>
      </c>
      <c r="AG1" s="13" t="s">
        <v>18</v>
      </c>
      <c r="AH1" s="13" t="s">
        <v>19</v>
      </c>
    </row>
    <row r="2" spans="1:34" ht="24.75" customHeight="1" x14ac:dyDescent="0.35">
      <c r="A2" s="45" t="s">
        <v>20</v>
      </c>
      <c r="B2" s="46" t="s">
        <v>21</v>
      </c>
      <c r="C2" s="46" t="s">
        <v>22</v>
      </c>
      <c r="D2" s="46" t="s">
        <v>23</v>
      </c>
      <c r="E2" s="47" t="s">
        <v>24</v>
      </c>
      <c r="F2" s="46" t="s">
        <v>25</v>
      </c>
      <c r="G2" s="46" t="s">
        <v>26</v>
      </c>
      <c r="H2" s="46" t="s">
        <v>27</v>
      </c>
      <c r="I2" s="46" t="s">
        <v>28</v>
      </c>
      <c r="J2" s="48" t="s">
        <v>29</v>
      </c>
      <c r="K2" s="47" t="s">
        <v>30</v>
      </c>
      <c r="L2" s="49" t="s">
        <v>31</v>
      </c>
      <c r="M2" s="49" t="s">
        <v>32</v>
      </c>
      <c r="N2" s="50" t="s">
        <v>33</v>
      </c>
      <c r="O2" s="51"/>
      <c r="P2" s="52" t="s">
        <v>20</v>
      </c>
      <c r="Q2" s="53" t="s">
        <v>34</v>
      </c>
      <c r="R2" s="50" t="s">
        <v>35</v>
      </c>
      <c r="S2" s="54" t="s">
        <v>36</v>
      </c>
      <c r="T2" s="50" t="s">
        <v>37</v>
      </c>
      <c r="U2" s="46" t="s">
        <v>38</v>
      </c>
      <c r="V2" s="46" t="s">
        <v>39</v>
      </c>
      <c r="W2" s="46" t="s">
        <v>40</v>
      </c>
      <c r="X2" s="47" t="s">
        <v>41</v>
      </c>
      <c r="Y2" s="46" t="s">
        <v>42</v>
      </c>
      <c r="Z2" s="46" t="s">
        <v>43</v>
      </c>
      <c r="AA2" s="46" t="s">
        <v>44</v>
      </c>
      <c r="AB2" s="46" t="s">
        <v>45</v>
      </c>
      <c r="AC2" s="46" t="s">
        <v>46</v>
      </c>
      <c r="AD2" s="47" t="s">
        <v>47</v>
      </c>
      <c r="AE2" s="47" t="s">
        <v>48</v>
      </c>
      <c r="AF2" s="49" t="s">
        <v>49</v>
      </c>
      <c r="AG2" s="46" t="s">
        <v>50</v>
      </c>
      <c r="AH2" s="46" t="s">
        <v>51</v>
      </c>
    </row>
    <row r="3" spans="1:34" ht="24.75" customHeight="1" x14ac:dyDescent="0.35">
      <c r="A3" s="45" t="s">
        <v>34</v>
      </c>
      <c r="B3" s="55"/>
      <c r="C3" s="56" t="s">
        <v>52</v>
      </c>
      <c r="D3" s="56" t="s">
        <v>52</v>
      </c>
      <c r="E3" s="56" t="s">
        <v>21</v>
      </c>
      <c r="F3" s="56" t="s">
        <v>21</v>
      </c>
      <c r="G3" s="56" t="s">
        <v>21</v>
      </c>
      <c r="H3" s="56" t="s">
        <v>52</v>
      </c>
      <c r="I3" s="56" t="s">
        <v>52</v>
      </c>
      <c r="J3" s="56" t="s">
        <v>21</v>
      </c>
      <c r="K3" s="56" t="s">
        <v>21</v>
      </c>
      <c r="L3" s="57" t="s">
        <v>21</v>
      </c>
      <c r="M3" s="57" t="s">
        <v>21</v>
      </c>
      <c r="N3" s="50"/>
      <c r="O3" s="51" t="s">
        <v>53</v>
      </c>
      <c r="P3" s="52"/>
      <c r="Q3" s="53"/>
      <c r="R3" s="74"/>
      <c r="S3" s="58"/>
      <c r="T3" s="59"/>
      <c r="U3" s="55"/>
      <c r="V3" s="56" t="s">
        <v>38</v>
      </c>
      <c r="W3" s="56" t="s">
        <v>38</v>
      </c>
      <c r="X3" s="56" t="s">
        <v>38</v>
      </c>
      <c r="Y3" s="56" t="s">
        <v>38</v>
      </c>
      <c r="Z3" s="56" t="s">
        <v>38</v>
      </c>
      <c r="AA3" s="56" t="s">
        <v>38</v>
      </c>
      <c r="AB3" s="56" t="s">
        <v>54</v>
      </c>
      <c r="AC3" s="56" t="s">
        <v>38</v>
      </c>
      <c r="AD3" s="56" t="s">
        <v>38</v>
      </c>
      <c r="AE3" s="56" t="s">
        <v>38</v>
      </c>
      <c r="AF3" s="57" t="s">
        <v>38</v>
      </c>
      <c r="AG3" s="56"/>
      <c r="AH3" s="56"/>
    </row>
    <row r="4" spans="1:34" ht="24.75" customHeight="1" x14ac:dyDescent="0.35">
      <c r="A4" s="72" t="s">
        <v>55</v>
      </c>
      <c r="B4" s="72"/>
      <c r="C4" s="56"/>
      <c r="D4" s="56"/>
      <c r="E4" s="56"/>
      <c r="F4" s="56"/>
      <c r="G4" s="56"/>
      <c r="H4" s="56"/>
      <c r="I4" s="56"/>
      <c r="J4" s="56"/>
      <c r="K4" s="56"/>
      <c r="L4" s="57"/>
      <c r="M4" s="57"/>
      <c r="N4" s="50"/>
      <c r="O4" s="51"/>
      <c r="P4" s="73"/>
      <c r="Q4" s="53"/>
      <c r="R4" s="74"/>
      <c r="S4" s="58"/>
      <c r="T4" s="59"/>
      <c r="U4" s="55">
        <f>B4</f>
        <v>0</v>
      </c>
      <c r="V4" s="56"/>
      <c r="W4" s="56"/>
      <c r="X4" s="56"/>
      <c r="Y4" s="56"/>
      <c r="Z4" s="56"/>
      <c r="AA4" s="56"/>
      <c r="AB4" s="56"/>
      <c r="AC4" s="56"/>
      <c r="AD4" s="56"/>
      <c r="AE4" s="56"/>
      <c r="AF4" s="57"/>
      <c r="AG4" s="56">
        <f>U4</f>
        <v>0</v>
      </c>
      <c r="AH4" s="56">
        <f>U4</f>
        <v>0</v>
      </c>
    </row>
    <row r="5" spans="1:34" x14ac:dyDescent="0.35">
      <c r="C5" s="14"/>
      <c r="D5" s="14"/>
      <c r="E5" s="14"/>
      <c r="F5" s="14"/>
      <c r="G5" s="14"/>
      <c r="H5" s="14"/>
      <c r="I5" s="14"/>
      <c r="J5" s="14"/>
      <c r="K5" s="14"/>
      <c r="L5" s="14"/>
      <c r="M5" s="14"/>
      <c r="N5" s="23">
        <f>SUM(C5:M5)</f>
        <v>0</v>
      </c>
      <c r="O5" s="10" t="s">
        <v>56</v>
      </c>
      <c r="P5" s="62" t="s">
        <v>57</v>
      </c>
      <c r="Q5" s="63"/>
      <c r="R5" s="63"/>
      <c r="S5" s="24">
        <f>SUM(V5:AF5)</f>
        <v>30230.986298981748</v>
      </c>
      <c r="T5" s="37"/>
      <c r="U5" s="61"/>
      <c r="V5" s="14">
        <f>-(C6+C5)</f>
        <v>8820.4875459222167</v>
      </c>
      <c r="W5" s="14">
        <f>-(D6+D5)</f>
        <v>10241.059599393642</v>
      </c>
      <c r="X5" s="14"/>
      <c r="Y5" s="14">
        <f>-(F6+F5)</f>
        <v>7810.8741603354283</v>
      </c>
      <c r="Z5" s="14">
        <f>-(G6+G5)</f>
        <v>2149.6844378497422</v>
      </c>
      <c r="AA5" s="14"/>
      <c r="AB5" s="14"/>
      <c r="AC5" s="14">
        <f>-(J6+J5)</f>
        <v>1208.8805554807177</v>
      </c>
      <c r="AD5" s="14"/>
      <c r="AE5" s="14"/>
      <c r="AF5" s="14"/>
      <c r="AG5" s="14"/>
      <c r="AH5" s="14"/>
    </row>
    <row r="6" spans="1:34" x14ac:dyDescent="0.35">
      <c r="C6" s="14">
        <f>-V6</f>
        <v>-8820.4875459222167</v>
      </c>
      <c r="D6" s="14">
        <f>-W6</f>
        <v>-10241.059599393642</v>
      </c>
      <c r="E6" s="14"/>
      <c r="F6" s="14">
        <f>-Y6</f>
        <v>-7810.8741603354283</v>
      </c>
      <c r="G6" s="14">
        <f>-Z6</f>
        <v>-2149.6844378497422</v>
      </c>
      <c r="H6" s="14"/>
      <c r="I6" s="14"/>
      <c r="J6" s="14">
        <f>-AC6</f>
        <v>-1208.8805554807177</v>
      </c>
      <c r="K6" s="14"/>
      <c r="L6" s="18"/>
      <c r="M6" s="18"/>
      <c r="N6" s="23">
        <f t="shared" ref="N6:N15" si="0">SUM(C6:M6)</f>
        <v>-30230.986298981748</v>
      </c>
      <c r="O6" s="22" t="s">
        <v>58</v>
      </c>
      <c r="P6" s="65" t="s">
        <v>59</v>
      </c>
      <c r="Q6" s="66"/>
      <c r="R6" s="66"/>
      <c r="S6" s="24">
        <f t="shared" ref="S6:S25" si="1">SUM(V6:AF6)</f>
        <v>30230.986298981748</v>
      </c>
      <c r="T6" s="37"/>
      <c r="U6" s="61"/>
      <c r="V6" s="14">
        <f>-(C16+C8)</f>
        <v>8820.4875459222167</v>
      </c>
      <c r="W6" s="14">
        <f>-(D16+D8)</f>
        <v>10241.059599393642</v>
      </c>
      <c r="X6" s="14"/>
      <c r="Y6" s="14">
        <f>-(F16+F8)</f>
        <v>7810.8741603354283</v>
      </c>
      <c r="Z6" s="14">
        <f>-(G16+G8)</f>
        <v>2149.6844378497422</v>
      </c>
      <c r="AA6" s="14"/>
      <c r="AB6" s="14"/>
      <c r="AC6" s="14">
        <f>-(J16+J8)</f>
        <v>1208.8805554807177</v>
      </c>
      <c r="AD6" s="14"/>
      <c r="AE6" s="14"/>
      <c r="AF6" s="14"/>
      <c r="AG6" s="21">
        <f>-(N6+S6)</f>
        <v>0</v>
      </c>
      <c r="AH6" s="21"/>
    </row>
    <row r="7" spans="1:34" x14ac:dyDescent="0.35"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23">
        <f t="shared" si="0"/>
        <v>0</v>
      </c>
      <c r="O7" s="22" t="s">
        <v>60</v>
      </c>
      <c r="P7" s="67" t="s">
        <v>61</v>
      </c>
      <c r="Q7" s="66"/>
      <c r="R7" s="66"/>
      <c r="S7" s="24">
        <f t="shared" si="1"/>
        <v>1147.7503829087805</v>
      </c>
      <c r="T7" s="37"/>
      <c r="U7" s="61"/>
      <c r="V7" s="14"/>
      <c r="W7" s="14"/>
      <c r="X7" s="14"/>
      <c r="Y7" s="14"/>
      <c r="Z7" s="16"/>
      <c r="AA7" s="19">
        <f>-H8</f>
        <v>452.7723077186929</v>
      </c>
      <c r="AB7" s="19">
        <f>-I8</f>
        <v>694.97807519008745</v>
      </c>
      <c r="AC7" s="14"/>
      <c r="AD7" s="14"/>
      <c r="AE7" s="14"/>
      <c r="AF7" s="14"/>
      <c r="AG7" s="14"/>
      <c r="AH7" s="14"/>
    </row>
    <row r="8" spans="1:34" x14ac:dyDescent="0.35">
      <c r="C8" s="14">
        <f>SUM(C9:C13)</f>
        <v>-7442.0707934246757</v>
      </c>
      <c r="D8" s="14">
        <f t="shared" ref="D8:M8" si="2">SUM(D9:D13)</f>
        <v>-10239.468474268926</v>
      </c>
      <c r="E8" s="14">
        <f t="shared" si="2"/>
        <v>-1343.293851819732</v>
      </c>
      <c r="F8" s="14">
        <f t="shared" si="2"/>
        <v>-5067.6925418593701</v>
      </c>
      <c r="G8" s="14">
        <f t="shared" si="2"/>
        <v>-2149.6844378497422</v>
      </c>
      <c r="H8" s="14">
        <f t="shared" si="2"/>
        <v>-452.7723077186929</v>
      </c>
      <c r="I8" s="14">
        <f t="shared" si="2"/>
        <v>-694.97807519008745</v>
      </c>
      <c r="J8" s="14">
        <f t="shared" si="2"/>
        <v>-552.95944161059288</v>
      </c>
      <c r="K8" s="14">
        <f t="shared" si="2"/>
        <v>-458.07981250464616</v>
      </c>
      <c r="L8" s="14">
        <f t="shared" si="2"/>
        <v>-4.9408960000000004</v>
      </c>
      <c r="M8" s="14">
        <f t="shared" si="2"/>
        <v>0</v>
      </c>
      <c r="N8" s="23">
        <f t="shared" si="0"/>
        <v>-28405.940632246467</v>
      </c>
      <c r="O8" s="22" t="s">
        <v>62</v>
      </c>
      <c r="P8" s="67" t="s">
        <v>63</v>
      </c>
      <c r="Q8" s="66"/>
      <c r="R8" s="66"/>
      <c r="S8" s="24">
        <f t="shared" si="1"/>
        <v>17559.97116657174</v>
      </c>
      <c r="T8" s="37"/>
      <c r="U8" s="61"/>
      <c r="V8" s="14">
        <f>SUM(V9:V13)</f>
        <v>0</v>
      </c>
      <c r="W8" s="14"/>
      <c r="X8" s="14">
        <f>(E14+E8)*-1</f>
        <v>10111.986468625913</v>
      </c>
      <c r="Y8" s="14"/>
      <c r="Z8" s="14"/>
      <c r="AA8" s="14"/>
      <c r="AB8" s="14"/>
      <c r="AC8" s="14"/>
      <c r="AD8" s="14">
        <f>(K14+K8)*-1</f>
        <v>7185.9103954284046</v>
      </c>
      <c r="AE8" s="14">
        <f>(L14+L8)*-1</f>
        <v>262.07430251742289</v>
      </c>
      <c r="AF8" s="14"/>
      <c r="AG8" s="21">
        <f>-(N8+S8)</f>
        <v>10845.969465674727</v>
      </c>
      <c r="AH8" s="21">
        <f>SUM(AH9:AH13)</f>
        <v>1097.9455329996279</v>
      </c>
    </row>
    <row r="9" spans="1:34" x14ac:dyDescent="0.35">
      <c r="C9" s="26">
        <f>-($AD$9+$H$9+$I$9)/$T$9*' KF OECD Asia Oceania'!$I109</f>
        <v>-6886.4407552593311</v>
      </c>
      <c r="D9" s="26">
        <f>-($AD$9+$H$9+$I$9)/$T$9*' KF OECD Asia Oceania'!$I110</f>
        <v>-20.996260272205628</v>
      </c>
      <c r="E9" s="26">
        <f>-($AD$9+$H$9+$I$9)/$T$9*' KF OECD Asia Oceania'!$I111</f>
        <v>-535.17596479966505</v>
      </c>
      <c r="F9" s="26">
        <f>-($AD$9+$H$9+$I$9)/$T$9*' KF OECD Asia Oceania'!$I112</f>
        <v>-4146.9069223961615</v>
      </c>
      <c r="G9" s="26">
        <f>-($AD$9+$H$9+$I$9)/$T$9*' KF OECD Asia Oceania'!$I113</f>
        <v>-2149.6844378497422</v>
      </c>
      <c r="H9" s="26">
        <f>AD9*' KF OECD Asia Oceania'!I94*-1</f>
        <v>-452.7723077186929</v>
      </c>
      <c r="I9" s="26">
        <f>AD9*' KF OECD Asia Oceania'!I95*-1</f>
        <v>-691.94369874412098</v>
      </c>
      <c r="J9" s="26">
        <f>-($AD$9+$H$9+$I$9)/$T$9*' KF OECD Asia Oceania'!$I114</f>
        <v>-470.10834633233475</v>
      </c>
      <c r="K9" s="25"/>
      <c r="L9" s="25"/>
      <c r="M9" s="25"/>
      <c r="N9" s="23">
        <f t="shared" si="0"/>
        <v>-15354.028693372253</v>
      </c>
      <c r="O9" s="6" t="s">
        <v>64</v>
      </c>
      <c r="P9" s="68" t="s">
        <v>65</v>
      </c>
      <c r="Q9" s="69" t="s">
        <v>63</v>
      </c>
      <c r="R9" s="69"/>
      <c r="S9" s="24">
        <f t="shared" si="1"/>
        <v>6860.6332256219684</v>
      </c>
      <c r="T9" s="37">
        <f>' KF OECD Asia Oceania'!I104</f>
        <v>0.40226556661146851</v>
      </c>
      <c r="U9" s="61"/>
      <c r="V9" s="28"/>
      <c r="W9" s="28"/>
      <c r="X9" s="28"/>
      <c r="Y9" s="28"/>
      <c r="Z9" s="28"/>
      <c r="AA9" s="28"/>
      <c r="AB9" s="28"/>
      <c r="AC9" s="28"/>
      <c r="AD9" s="28">
        <f>AD8-AD10</f>
        <v>6860.6332256219684</v>
      </c>
      <c r="AE9" s="28"/>
      <c r="AF9" s="28"/>
      <c r="AG9" s="29">
        <f>-(S9+N9)</f>
        <v>8493.3954677502843</v>
      </c>
      <c r="AH9" s="29">
        <f>-(C9*Emissionsfaktorer!$B$2*(1-' KF OECD Asia Oceania'!I134)+D9*Emissionsfaktorer!$B$3+E9*Emissionsfaktorer!$B$4*(1-' KF OECD Asia Oceania'!I135)+F9*Emissionsfaktorer!$B$5*(1-' KF OECD Asia Oceania'!I136)+G9*Emissionsfaktorer!$B$6+H9*Emissionsfaktorer!$B$7+I9*Emissionsfaktorer!$B$8-J9*Emissionsfaktorer!B13*' KF OECD Asia Oceania'!I137+K9*Emissionsfaktorer!$B$10+L9*Emissionsfaktorer!$B$11+M9*Emissionsfaktorer!$B$12)</f>
        <v>931.25893965099215</v>
      </c>
    </row>
    <row r="10" spans="1:34" x14ac:dyDescent="0.35">
      <c r="C10" s="26">
        <f>-($AD$10+$AE$10+$H$10+$I$10)/$T$10*' KF OECD Asia Oceania'!$I116</f>
        <v>-259.67874216534415</v>
      </c>
      <c r="D10" s="26">
        <f>-($AD$10+$AE$10+$H$10+$I$10)/$T$10*' KF OECD Asia Oceania'!$I117</f>
        <v>0</v>
      </c>
      <c r="E10" s="26">
        <f>-($AD$10+$AE$10+$H$10+$I$10)/$T$10*' KF OECD Asia Oceania'!$I118</f>
        <v>-66.037613705639473</v>
      </c>
      <c r="F10" s="26">
        <f>-($AD$10+$AE$10+$H$10+$I$10)/$T$10*' KF OECD Asia Oceania'!$I119</f>
        <v>-511.25250513948828</v>
      </c>
      <c r="G10" s="26">
        <f>-($AD$10+$AE$10+$H$10+$I$10)/$T$10*' KF OECD Asia Oceania'!$I120</f>
        <v>0</v>
      </c>
      <c r="H10" s="26"/>
      <c r="I10" s="26">
        <f>(AD10+AE10)*' KF OECD Asia Oceania'!I98*-1</f>
        <v>-3.0343764459665055</v>
      </c>
      <c r="J10" s="26">
        <f>-($AD$10+$AE$10+$H$10+$I$10)/$T$10*' KF OECD Asia Oceania'!$I121</f>
        <v>-54.538924015661138</v>
      </c>
      <c r="K10" s="25"/>
      <c r="L10" s="25"/>
      <c r="M10" s="25"/>
      <c r="N10" s="23">
        <f t="shared" si="0"/>
        <v>-894.54216147209956</v>
      </c>
      <c r="O10" s="6" t="s">
        <v>66</v>
      </c>
      <c r="P10" s="68" t="s">
        <v>67</v>
      </c>
      <c r="Q10" s="69" t="s">
        <v>63</v>
      </c>
      <c r="R10" s="69"/>
      <c r="S10" s="24">
        <f t="shared" si="1"/>
        <v>541.07723152286951</v>
      </c>
      <c r="T10" s="37">
        <f>' KF OECD Asia Oceania'!I105</f>
        <v>0.60352008598683327</v>
      </c>
      <c r="U10" s="61"/>
      <c r="V10" s="28"/>
      <c r="W10" s="28"/>
      <c r="X10" s="28"/>
      <c r="Y10" s="28"/>
      <c r="Z10" s="28"/>
      <c r="AA10" s="28"/>
      <c r="AB10" s="28"/>
      <c r="AC10" s="28"/>
      <c r="AD10" s="28">
        <f>AE10*' KF OECD Asia Oceania'!I90</f>
        <v>325.27716980643578</v>
      </c>
      <c r="AE10" s="28">
        <f>AE8*' KF OECD Asia Oceania'!I85</f>
        <v>215.8000617164337</v>
      </c>
      <c r="AF10" s="28"/>
      <c r="AG10" s="29">
        <f t="shared" ref="AG10:AG11" si="3">-(S10+N10)</f>
        <v>353.46492994923005</v>
      </c>
      <c r="AH10" s="29">
        <f>-(C10*Emissionsfaktorer!$B$2*(1-' KF OECD Asia Oceania'!I135)+D10*Emissionsfaktorer!$B$3+E10*Emissionsfaktorer!$B$4*(1-' KF OECD Asia Oceania'!I136)+F10*Emissionsfaktorer!$B$5*(1-' KF OECD Asia Oceania'!I137)+G10*Emissionsfaktorer!$B$6+H10*Emissionsfaktorer!$B$7+I10*Emissionsfaktorer!$B$8-J10*Emissionsfaktorer!B14*' KF OECD Asia Oceania'!I142+K10*Emissionsfaktorer!$B$10+L10*Emissionsfaktorer!$B$11+M10*Emissionsfaktorer!$B$12)</f>
        <v>58.829731940287125</v>
      </c>
    </row>
    <row r="11" spans="1:34" x14ac:dyDescent="0.35">
      <c r="C11" s="26">
        <f>-($AE$11+$H$11+$I$11)/$T$11*' KF OECD Asia Oceania'!$I123</f>
        <v>0</v>
      </c>
      <c r="D11" s="26">
        <f>-($AE$11+$H$11+$I$11)/$T$11*' KF OECD Asia Oceania'!$I124</f>
        <v>0</v>
      </c>
      <c r="E11" s="26">
        <f>-($AE$11+$H$11+$I$11)/$T$11*' KF OECD Asia Oceania'!$I125</f>
        <v>-8.9434253144275946</v>
      </c>
      <c r="F11" s="26">
        <f>-($AE$11+$H$11+$I$11)/$T$11*' KF OECD Asia Oceania'!$I126</f>
        <v>-15.810698323720212</v>
      </c>
      <c r="G11" s="26">
        <f>-($AE$11+$H$11+$I$11)/$T$11*' KF OECD Asia Oceania'!$I127</f>
        <v>0</v>
      </c>
      <c r="H11" s="26"/>
      <c r="I11" s="26">
        <f>AE11*' KF OECD Asia Oceania'!I101*-1</f>
        <v>0</v>
      </c>
      <c r="J11" s="26">
        <f>-($AE$11+$H$11+$I$11)/$T$11*' KF OECD Asia Oceania'!$I128</f>
        <v>-22.198859262597065</v>
      </c>
      <c r="K11" s="28">
        <f>AE11*' KF OECD Asia Oceania'!I88*-1</f>
        <v>-3.4336365046463087</v>
      </c>
      <c r="L11" s="25"/>
      <c r="M11" s="25"/>
      <c r="N11" s="23">
        <f t="shared" si="0"/>
        <v>-50.38661940539118</v>
      </c>
      <c r="O11" s="6" t="s">
        <v>68</v>
      </c>
      <c r="P11" s="64" t="s">
        <v>69</v>
      </c>
      <c r="Q11" s="69" t="s">
        <v>63</v>
      </c>
      <c r="R11" s="69"/>
      <c r="S11" s="24">
        <f t="shared" si="1"/>
        <v>46.274240800989205</v>
      </c>
      <c r="T11" s="37">
        <f>' KF OECD Asia Oceania'!I106</f>
        <v>0.98554421768707479</v>
      </c>
      <c r="U11" s="61"/>
      <c r="V11" s="28"/>
      <c r="W11" s="28"/>
      <c r="X11" s="28"/>
      <c r="Y11" s="28"/>
      <c r="Z11" s="28"/>
      <c r="AA11" s="28"/>
      <c r="AB11" s="28"/>
      <c r="AC11" s="28"/>
      <c r="AD11" s="28"/>
      <c r="AE11" s="28">
        <f>AE8*' KF OECD Asia Oceania'!I86</f>
        <v>46.274240800989205</v>
      </c>
      <c r="AF11" s="28"/>
      <c r="AG11" s="29">
        <f t="shared" si="3"/>
        <v>4.1123786044019752</v>
      </c>
      <c r="AH11" s="29">
        <f>-(C11*Emissionsfaktorer!$B$2+D11*Emissionsfaktorer!$B$3+E11*Emissionsfaktorer!$B$4+F11*Emissionsfaktorer!$B$5+G11*Emissionsfaktorer!$B$6+H11*Emissionsfaktorer!$B$7+I11*Emissionsfaktorer!$B$8+J11*Emissionsfaktorer!$B$9+K11*Emissionsfaktorer!$B$10+L11*Emissionsfaktorer!$B$11+M11*Emissionsfaktorer!$B$12)</f>
        <v>1.5809101283485494</v>
      </c>
    </row>
    <row r="12" spans="1:34" x14ac:dyDescent="0.35">
      <c r="C12" s="26"/>
      <c r="D12" s="26">
        <f>-X12/T12*' KF OECD Asia Oceania'!I130</f>
        <v>-10214.745605996719</v>
      </c>
      <c r="E12" s="25"/>
      <c r="F12" s="26"/>
      <c r="G12" s="26"/>
      <c r="H12" s="26"/>
      <c r="I12" s="26"/>
      <c r="J12" s="27">
        <f>-X12/T12*' KF OECD Asia Oceania'!I131</f>
        <v>0</v>
      </c>
      <c r="K12" s="25"/>
      <c r="L12" s="25"/>
      <c r="M12" s="25"/>
      <c r="N12" s="23">
        <f t="shared" si="0"/>
        <v>-10214.745605996719</v>
      </c>
      <c r="O12" s="6" t="s">
        <v>70</v>
      </c>
      <c r="P12" s="64" t="s">
        <v>71</v>
      </c>
      <c r="Q12" s="69" t="s">
        <v>63</v>
      </c>
      <c r="R12" s="69"/>
      <c r="S12" s="24">
        <f t="shared" si="1"/>
        <v>10111.986468625913</v>
      </c>
      <c r="T12" s="37">
        <f>' KF OECD Asia Oceania'!I107</f>
        <v>0.98994011781257873</v>
      </c>
      <c r="U12" s="61"/>
      <c r="V12" s="28"/>
      <c r="W12" s="28"/>
      <c r="X12" s="28">
        <f>-(E9+E10+E11+E13+E14)</f>
        <v>10111.986468625913</v>
      </c>
      <c r="Y12" s="28"/>
      <c r="Z12" s="28"/>
      <c r="AA12" s="28"/>
      <c r="AB12" s="28"/>
      <c r="AC12" s="28"/>
      <c r="AD12" s="28"/>
      <c r="AE12" s="28"/>
      <c r="AF12" s="28"/>
      <c r="AG12" s="29">
        <f>-(S12+N12)</f>
        <v>102.75913737080555</v>
      </c>
      <c r="AH12" s="29">
        <f>J12*Emissionsfaktorer!B4</f>
        <v>0</v>
      </c>
    </row>
    <row r="13" spans="1:34" x14ac:dyDescent="0.35">
      <c r="C13" s="28">
        <f>N13*' KF OECD Asia Oceania'!I79</f>
        <v>-295.95129600000001</v>
      </c>
      <c r="D13" s="28">
        <f>N13*' KF OECD Asia Oceania'!I81</f>
        <v>-3.7266079999999997</v>
      </c>
      <c r="E13" s="28">
        <f>N13*' KF OECD Asia Oceania'!I82</f>
        <v>-733.13684799999999</v>
      </c>
      <c r="F13" s="28">
        <f>N13*' KF OECD Asia Oceania'!I80</f>
        <v>-393.72241600000001</v>
      </c>
      <c r="G13" s="28"/>
      <c r="H13" s="28"/>
      <c r="I13" s="28"/>
      <c r="J13" s="36">
        <f>N13*' KF OECD Asia Oceania'!I83</f>
        <v>-6.1133119999999996</v>
      </c>
      <c r="K13" s="28">
        <f>N13*' KF OECD Asia Oceania'!I77</f>
        <v>-454.64617599999985</v>
      </c>
      <c r="L13" s="28">
        <f>N13*' KF OECD Asia Oceania'!I78</f>
        <v>-4.9408960000000004</v>
      </c>
      <c r="M13" s="25"/>
      <c r="N13" s="23">
        <f>N16*' KF OECD Asia Oceania'!I75</f>
        <v>-1892.2375520000001</v>
      </c>
      <c r="O13" s="6" t="s">
        <v>72</v>
      </c>
      <c r="P13" s="64" t="s">
        <v>73</v>
      </c>
      <c r="Q13" s="69" t="s">
        <v>63</v>
      </c>
      <c r="R13" s="69"/>
      <c r="S13" s="24">
        <f t="shared" si="1"/>
        <v>0</v>
      </c>
      <c r="T13" s="37">
        <v>0</v>
      </c>
      <c r="U13" s="61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9">
        <f>-(S13+N13)</f>
        <v>1892.2375520000001</v>
      </c>
      <c r="AH13" s="29">
        <f>-(C13*Emissionsfaktorer!$B$2+D13*Emissionsfaktorer!$B$3+E13*Emissionsfaktorer!$B$4+F13*Emissionsfaktorer!$B$5+G13*Emissionsfaktorer!$B$6+H13*Emissionsfaktorer!$B$7+I13*Emissionsfaktorer!$B$8+J13*Emissionsfaktorer!$B$9+K13*Emissionsfaktorer!$B$10+L13*Emissionsfaktorer!$B$11+M13*Emissionsfaktorer!$B$12)</f>
        <v>106.27595128</v>
      </c>
    </row>
    <row r="14" spans="1:34" x14ac:dyDescent="0.35">
      <c r="C14" s="15"/>
      <c r="D14" s="15"/>
      <c r="E14" s="16">
        <f>-X14*1</f>
        <v>-8768.6926168061818</v>
      </c>
      <c r="F14" s="15"/>
      <c r="G14" s="15"/>
      <c r="H14" s="15"/>
      <c r="I14" s="15"/>
      <c r="J14" s="20"/>
      <c r="K14" s="16">
        <f>-AD14*(1+' KF OECD Asia Oceania'!I72)</f>
        <v>-6727.8305829237588</v>
      </c>
      <c r="L14" s="16">
        <f>-AE14*(1+' KF OECD Asia Oceania'!I73)</f>
        <v>-257.13340651742288</v>
      </c>
      <c r="M14" s="16"/>
      <c r="N14" s="23">
        <f t="shared" si="0"/>
        <v>-15753.656606247365</v>
      </c>
      <c r="O14" s="22" t="s">
        <v>74</v>
      </c>
      <c r="P14" s="66" t="s">
        <v>75</v>
      </c>
      <c r="Q14" s="70"/>
      <c r="R14" s="70"/>
      <c r="S14" s="24">
        <f t="shared" si="1"/>
        <v>15455.651952618045</v>
      </c>
      <c r="T14" s="37"/>
      <c r="U14" s="61"/>
      <c r="V14" s="16"/>
      <c r="W14" s="16"/>
      <c r="X14" s="16">
        <f>-E16</f>
        <v>8768.6926168061818</v>
      </c>
      <c r="Y14" s="16"/>
      <c r="Z14" s="16"/>
      <c r="AA14" s="16"/>
      <c r="AB14" s="16"/>
      <c r="AC14" s="16"/>
      <c r="AD14" s="16">
        <f>-K16</f>
        <v>6432.337815388717</v>
      </c>
      <c r="AE14" s="16">
        <f>-L16</f>
        <v>254.62152042314653</v>
      </c>
      <c r="AF14" s="16"/>
      <c r="AG14" s="21">
        <f>-(N14+S14)</f>
        <v>298.00465362931936</v>
      </c>
      <c r="AH14" s="21"/>
    </row>
    <row r="15" spans="1:34" x14ac:dyDescent="0.35"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23">
        <f t="shared" si="0"/>
        <v>0</v>
      </c>
      <c r="O15" s="22" t="s">
        <v>76</v>
      </c>
      <c r="P15" s="67" t="s">
        <v>77</v>
      </c>
      <c r="Q15" s="66"/>
      <c r="R15" s="66"/>
      <c r="S15" s="24">
        <f t="shared" si="1"/>
        <v>66.408319137878095</v>
      </c>
      <c r="T15" s="37"/>
      <c r="U15" s="61"/>
      <c r="V15" s="14"/>
      <c r="W15" s="14"/>
      <c r="X15" s="14"/>
      <c r="Y15" s="14"/>
      <c r="Z15" s="14"/>
      <c r="AA15" s="14"/>
      <c r="AB15" s="14">
        <f>I16*-1</f>
        <v>66.408319137878095</v>
      </c>
      <c r="AC15" s="14"/>
      <c r="AD15" s="14"/>
      <c r="AE15" s="14"/>
      <c r="AF15" s="14"/>
      <c r="AG15" s="14"/>
      <c r="AH15" s="14"/>
    </row>
    <row r="16" spans="1:34" x14ac:dyDescent="0.35">
      <c r="C16" s="14">
        <f t="shared" ref="C16:M16" si="4">SUM(C17:C19)</f>
        <v>-1378.4167524975403</v>
      </c>
      <c r="D16" s="14">
        <f t="shared" si="4"/>
        <v>-1.5911251247153169</v>
      </c>
      <c r="E16" s="14">
        <f t="shared" si="4"/>
        <v>-8768.6926168061818</v>
      </c>
      <c r="F16" s="14">
        <f t="shared" si="4"/>
        <v>-2743.1816184760582</v>
      </c>
      <c r="G16" s="14">
        <f t="shared" si="4"/>
        <v>0</v>
      </c>
      <c r="H16" s="14">
        <f t="shared" si="4"/>
        <v>0</v>
      </c>
      <c r="I16" s="14">
        <f t="shared" si="4"/>
        <v>-66.408319137878095</v>
      </c>
      <c r="J16" s="14">
        <f t="shared" si="4"/>
        <v>-655.92111387012471</v>
      </c>
      <c r="K16" s="14">
        <f t="shared" si="4"/>
        <v>-6432.337815388717</v>
      </c>
      <c r="L16" s="14">
        <f t="shared" si="4"/>
        <v>-254.62152042314653</v>
      </c>
      <c r="M16" s="14">
        <f t="shared" si="4"/>
        <v>0</v>
      </c>
      <c r="N16" s="23">
        <f>' KF OECD Asia Oceania'!I5</f>
        <v>-20301.262352000002</v>
      </c>
      <c r="O16" s="10" t="s">
        <v>78</v>
      </c>
      <c r="P16" s="71" t="s">
        <v>79</v>
      </c>
      <c r="Q16" s="71"/>
      <c r="R16" s="71"/>
      <c r="S16" s="24">
        <f t="shared" si="1"/>
        <v>13978.979761600001</v>
      </c>
      <c r="T16" s="37"/>
      <c r="U16" s="61"/>
      <c r="V16" s="14"/>
      <c r="W16" s="14"/>
      <c r="X16" s="14"/>
      <c r="Y16" s="14"/>
      <c r="Z16" s="14"/>
      <c r="AA16" s="14"/>
      <c r="AB16" s="14"/>
      <c r="AC16" s="14"/>
      <c r="AD16" s="14"/>
      <c r="AE16" s="14"/>
      <c r="AF16" s="14">
        <f>SUM(AF17:AF19)</f>
        <v>13978.979761600001</v>
      </c>
      <c r="AG16" s="14">
        <f t="shared" ref="AG16:AH16" si="5">SUM(AG17:AG19)</f>
        <v>6322.1911201243602</v>
      </c>
      <c r="AH16" s="14">
        <f t="shared" si="5"/>
        <v>953.73158261767151</v>
      </c>
    </row>
    <row r="17" spans="3:34" x14ac:dyDescent="0.35">
      <c r="C17" s="25">
        <f>AF17*' KF OECD Asia Oceania'!I15/T17*' KF OECD Asia Oceania'!I139/' KF OECD Asia Oceania'!I$139*-1</f>
        <v>-1348.4366714824223</v>
      </c>
      <c r="D17" s="25">
        <f>AF17*' KF OECD Asia Oceania'!I16/T17*' KF OECD Asia Oceania'!I139/' KF OECD Asia Oceania'!I$139*-1</f>
        <v>-1.5911251247153169</v>
      </c>
      <c r="E17" s="25">
        <f>AF17*' KF OECD Asia Oceania'!I17/T17*' KF OECD Asia Oceania'!I139/' KF OECD Asia Oceania'!I$139*-1</f>
        <v>-1067.8124455392108</v>
      </c>
      <c r="F17" s="25">
        <f>AF17*' KF OECD Asia Oceania'!I18/T17*' KF OECD Asia Oceania'!I139/' KF OECD Asia Oceania'!I$139*-1</f>
        <v>-1153.0632548529049</v>
      </c>
      <c r="G17" s="25"/>
      <c r="H17" s="25"/>
      <c r="I17" s="25">
        <f>AF17*' KF OECD Asia Oceania'!I19/T17*' KF OECD Asia Oceania'!I142/' KF OECD Asia Oceania'!I$142*-1</f>
        <v>-4.8571188017625451</v>
      </c>
      <c r="J17" s="25">
        <f>AF17*' KF OECD Asia Oceania'!I20*' KF OECD Asia Oceania'!I139/T17/' KF OECD Asia Oceania'!I$139*-1</f>
        <v>-424.41169116090651</v>
      </c>
      <c r="K17" s="25">
        <f>AF17*' KF OECD Asia Oceania'!I21*' KF OECD Asia Oceania'!I141/T17/' KF OECD Asia Oceania'!I$141*-1</f>
        <v>-2617.1914715876551</v>
      </c>
      <c r="L17" s="25">
        <f>AF17*' KF OECD Asia Oceania'!I22*' KF OECD Asia Oceania'!I142/T17/' KF OECD Asia Oceania'!I$142*-1</f>
        <v>-132.39835906183765</v>
      </c>
      <c r="M17" s="25"/>
      <c r="N17" s="23">
        <f>SUM(C17:L17)</f>
        <v>-6749.7621376114148</v>
      </c>
      <c r="O17" s="6" t="s">
        <v>80</v>
      </c>
      <c r="P17" s="64" t="s">
        <v>81</v>
      </c>
      <c r="Q17" s="69" t="s">
        <v>79</v>
      </c>
      <c r="R17" s="69"/>
      <c r="S17" s="24">
        <f t="shared" si="1"/>
        <v>5819.839526400001</v>
      </c>
      <c r="T17" s="37">
        <f>(' KF OECD Asia Oceania'!I15+' KF OECD Asia Oceania'!I16+' KF OECD Asia Oceania'!I17+' KF OECD Asia Oceania'!I18+' KF OECD Asia Oceania'!I20)*' KF OECD Asia Oceania'!I139+(' KF OECD Asia Oceania'!I19+' KF OECD Asia Oceania'!I22)*' KF OECD Asia Oceania'!I142+' KF OECD Asia Oceania'!I21*' KF OECD Asia Oceania'!I141</f>
        <v>0.86222883232734304</v>
      </c>
      <c r="U17" s="61"/>
      <c r="V17" s="25"/>
      <c r="W17" s="25"/>
      <c r="X17" s="25"/>
      <c r="Y17" s="25"/>
      <c r="Z17" s="25"/>
      <c r="AA17" s="25"/>
      <c r="AB17" s="25"/>
      <c r="AC17" s="25"/>
      <c r="AD17" s="25"/>
      <c r="AE17" s="25"/>
      <c r="AF17" s="25">
        <f>' KF OECD Asia Oceania'!I5*' KF OECD Asia Oceania'!I7*((' KF OECD Asia Oceania'!G15+' KF OECD Asia Oceania'!G16+' KF OECD Asia Oceania'!G17+' KF OECD Asia Oceania'!G18+' KF OECD Asia Oceania'!G20)*' KF OECD Asia Oceania'!G139+(' KF OECD Asia Oceania'!G19+' KF OECD Asia Oceania'!G22)*' KF OECD Asia Oceania'!G142+' KF OECD Asia Oceania'!G21*' KF OECD Asia Oceania'!G141)*-1</f>
        <v>5819.839526400001</v>
      </c>
      <c r="AG17" s="25">
        <f>(S17+SUM(C17:M17))*-1</f>
        <v>929.92261121141382</v>
      </c>
      <c r="AH17" s="29">
        <f>-(C17*Emissionsfaktorer!$B$2+D17*Emissionsfaktorer!$B$3+E17*Emissionsfaktorer!$B$4+F17*Emissionsfaktorer!$B$5+G17*Emissionsfaktorer!$B$6+H17*Emissionsfaktorer!$B$7+I17*Emissionsfaktorer!$B$8+J17*Emissionsfaktorer!$B$9+K17*Emissionsfaktorer!$B$10+L17*Emissionsfaktorer!$B$11+M17*Emissionsfaktorer!$B$12)</f>
        <v>274.97983517842573</v>
      </c>
    </row>
    <row r="18" spans="3:34" x14ac:dyDescent="0.35">
      <c r="C18" s="25">
        <f>AF18*' KF OECD Asia Oceania'!I24/T18*' KF OECD Asia Oceania'!I140/' KF OECD Asia Oceania'!I$140*-1</f>
        <v>-4.1872000000000006E-2</v>
      </c>
      <c r="D18" s="25"/>
      <c r="E18" s="25">
        <f>AF18*' KF OECD Asia Oceania'!I25/T18*' KF OECD Asia Oceania'!I140/' KF OECD Asia Oceania'!I$140*-1</f>
        <v>-6110.255344000002</v>
      </c>
      <c r="F18" s="25">
        <f>AF18*' KF OECD Asia Oceania'!I26/T18*' KF OECD Asia Oceania'!I140/' KF OECD Asia Oceania'!I$140*-1</f>
        <v>-69.968112000000005</v>
      </c>
      <c r="G18" s="25"/>
      <c r="H18" s="25"/>
      <c r="I18" s="25">
        <f>AF18*' KF OECD Asia Oceania'!I27/T18*' KF OECD Asia Oceania'!I142/' KF OECD Asia Oceania'!I$142*-1</f>
        <v>0</v>
      </c>
      <c r="J18" s="25">
        <f>AF18*' KF OECD Asia Oceania'!I28/T18*' KF OECD Asia Oceania'!I140/' KF OECD Asia Oceania'!I$140*-1</f>
        <v>-49.953296000000009</v>
      </c>
      <c r="K18" s="25">
        <f>AF18*' KF OECD Asia Oceania'!I29/T18*' KF OECD Asia Oceania'!I141/' KF OECD Asia Oceania'!I$141*-1</f>
        <v>-95.21692800000001</v>
      </c>
      <c r="L18" s="25">
        <f>AF18*' KF OECD Asia Oceania'!I30/T18*' KF OECD Asia Oceania'!I142/' KF OECD Asia Oceania'!I$142*-1</f>
        <v>0</v>
      </c>
      <c r="M18" s="25"/>
      <c r="N18" s="23">
        <f>SUM(C18:L18)</f>
        <v>-6325.4355520000008</v>
      </c>
      <c r="O18" s="6" t="s">
        <v>82</v>
      </c>
      <c r="P18" s="64" t="s">
        <v>83</v>
      </c>
      <c r="Q18" s="69" t="s">
        <v>79</v>
      </c>
      <c r="R18" s="69"/>
      <c r="S18" s="24">
        <f t="shared" si="1"/>
        <v>1959.5216688000003</v>
      </c>
      <c r="T18" s="37">
        <f>(' KF OECD Asia Oceania'!I24+' KF OECD Asia Oceania'!I25+' KF OECD Asia Oceania'!I26+' KF OECD Asia Oceania'!I28)*' KF OECD Asia Oceania'!I140+(' KF OECD Asia Oceania'!I27+' KF OECD Asia Oceania'!I30)*' KF OECD Asia Oceania'!I142+' KF OECD Asia Oceania'!I29*' KF OECD Asia Oceania'!I141</f>
        <v>0.3097844650682483</v>
      </c>
      <c r="U18" s="61"/>
      <c r="V18" s="25"/>
      <c r="W18" s="25"/>
      <c r="X18" s="25"/>
      <c r="Y18" s="25"/>
      <c r="Z18" s="25"/>
      <c r="AA18" s="25"/>
      <c r="AB18" s="25"/>
      <c r="AC18" s="25"/>
      <c r="AD18" s="25"/>
      <c r="AE18" s="25"/>
      <c r="AF18" s="25">
        <f>' KF OECD Asia Oceania'!I5*' KF OECD Asia Oceania'!I8*-1*((' KF OECD Asia Oceania'!G24+' KF OECD Asia Oceania'!G25+' KF OECD Asia Oceania'!G26+' KF OECD Asia Oceania'!G28)*' KF OECD Asia Oceania'!G140+(' KF OECD Asia Oceania'!G27+' KF OECD Asia Oceania'!G30)*' KF OECD Asia Oceania'!G142+' KF OECD Asia Oceania'!G29*' KF OECD Asia Oceania'!G141)</f>
        <v>1959.5216688000003</v>
      </c>
      <c r="AG18" s="25">
        <f>(S18+SUM(C18:M18))*-1</f>
        <v>4365.9138832000008</v>
      </c>
      <c r="AH18" s="29">
        <f>-(C18*Emissionsfaktorer!$B$2+D18*Emissionsfaktorer!$B$3+E18*Emissionsfaktorer!$B$4+F18*Emissionsfaktorer!$B$5+G18*Emissionsfaktorer!$B$6+H18*Emissionsfaktorer!$B$7+I18*Emissionsfaktorer!$B$8+J18*Emissionsfaktorer!$B$9+K18*Emissionsfaktorer!$B$10+L18*Emissionsfaktorer!$B$11+M18*Emissionsfaktorer!$B$12)</f>
        <v>468.37156636800017</v>
      </c>
    </row>
    <row r="19" spans="3:34" x14ac:dyDescent="0.35">
      <c r="C19" s="25">
        <f>SUM(C20:C24)</f>
        <v>-29.938209015118034</v>
      </c>
      <c r="D19" s="25">
        <f t="shared" ref="D19:M19" si="6">SUM(D20:D24)</f>
        <v>0</v>
      </c>
      <c r="E19" s="25">
        <f t="shared" si="6"/>
        <v>-1590.6248272669695</v>
      </c>
      <c r="F19" s="25">
        <f t="shared" si="6"/>
        <v>-1520.1502516231535</v>
      </c>
      <c r="G19" s="25">
        <f t="shared" si="6"/>
        <v>0</v>
      </c>
      <c r="H19" s="25">
        <f t="shared" si="6"/>
        <v>0</v>
      </c>
      <c r="I19" s="25">
        <f t="shared" si="6"/>
        <v>-61.551200336115549</v>
      </c>
      <c r="J19" s="25">
        <f t="shared" si="6"/>
        <v>-181.55612670921815</v>
      </c>
      <c r="K19" s="25">
        <f t="shared" si="6"/>
        <v>-3719.9294158010625</v>
      </c>
      <c r="L19" s="25">
        <f t="shared" si="6"/>
        <v>-122.22316136130887</v>
      </c>
      <c r="M19" s="25">
        <f t="shared" si="6"/>
        <v>0</v>
      </c>
      <c r="N19" s="23">
        <f>SUM(N20:N24)</f>
        <v>-7225.9731921129451</v>
      </c>
      <c r="O19" s="6" t="s">
        <v>84</v>
      </c>
      <c r="P19" s="64" t="s">
        <v>85</v>
      </c>
      <c r="Q19" s="69" t="s">
        <v>79</v>
      </c>
      <c r="R19" s="69"/>
      <c r="S19" s="24">
        <f t="shared" si="1"/>
        <v>6199.6185664000004</v>
      </c>
      <c r="T19" s="37">
        <v>0.8</v>
      </c>
      <c r="U19" s="61"/>
      <c r="V19" s="25">
        <f>SUM(V20:V24)</f>
        <v>0</v>
      </c>
      <c r="W19" s="25">
        <f t="shared" ref="W19:AH19" si="7">SUM(W20:W24)</f>
        <v>0</v>
      </c>
      <c r="X19" s="25">
        <f t="shared" si="7"/>
        <v>0</v>
      </c>
      <c r="Y19" s="25">
        <f t="shared" si="7"/>
        <v>0</v>
      </c>
      <c r="Z19" s="25">
        <f t="shared" si="7"/>
        <v>0</v>
      </c>
      <c r="AA19" s="25">
        <f t="shared" si="7"/>
        <v>0</v>
      </c>
      <c r="AB19" s="25">
        <f t="shared" si="7"/>
        <v>0</v>
      </c>
      <c r="AC19" s="25">
        <f t="shared" si="7"/>
        <v>0</v>
      </c>
      <c r="AD19" s="25">
        <f t="shared" si="7"/>
        <v>0</v>
      </c>
      <c r="AE19" s="25">
        <f t="shared" si="7"/>
        <v>0</v>
      </c>
      <c r="AF19" s="25">
        <f t="shared" si="7"/>
        <v>6199.6185664000004</v>
      </c>
      <c r="AG19" s="25">
        <f t="shared" si="7"/>
        <v>1026.3546257129451</v>
      </c>
      <c r="AH19" s="25">
        <f t="shared" si="7"/>
        <v>210.38018107124563</v>
      </c>
    </row>
    <row r="20" spans="3:34" x14ac:dyDescent="0.35">
      <c r="C20" s="92">
        <f>AF20*' KF OECD Asia Oceania'!I$32/T20*' KF OECD Asia Oceania'!I$139/' KF OECD Asia Oceania'!I$139*-1</f>
        <v>-19.512081015118035</v>
      </c>
      <c r="D20" s="92"/>
      <c r="E20" s="92">
        <f>AF20*' KF OECD Asia Oceania'!I33/T20*' KF OECD Asia Oceania'!I$140/' KF OECD Asia Oceania'!I$140*-1</f>
        <v>-627.06636326696923</v>
      </c>
      <c r="F20" s="92">
        <f>AF20*' KF OECD Asia Oceania'!I$34/T20*' KF OECD Asia Oceania'!I$140/' KF OECD Asia Oceania'!I$140*-1</f>
        <v>-915.05797962315341</v>
      </c>
      <c r="G20" s="92"/>
      <c r="H20" s="92"/>
      <c r="I20" s="92">
        <f>AF20*' KF OECD Asia Oceania'!I$35/T20*' KF OECD Asia Oceania'!I$142/' KF OECD Asia Oceania'!I$142*-1</f>
        <v>-46.058560336115541</v>
      </c>
      <c r="J20" s="92">
        <f>AF20*' KF OECD Asia Oceania'!I$36/T20*' KF OECD Asia Oceania'!I$140/' KF OECD Asia Oceania'!I$140*-1</f>
        <v>-62.304670709218108</v>
      </c>
      <c r="K20" s="92">
        <f>AF20*' KF OECD Asia Oceania'!I$37/T20*' KF OECD Asia Oceania'!I$141/' KF OECD Asia Oceania'!I$141*-1</f>
        <v>-1507.4966798010616</v>
      </c>
      <c r="L20" s="92">
        <f>AF20*' KF OECD Asia Oceania'!I$38/T20*' KF OECD Asia Oceania'!I$142/' KF OECD Asia Oceania'!I$142*-1</f>
        <v>-86.883193361308855</v>
      </c>
      <c r="M20" s="92"/>
      <c r="N20" s="23">
        <f>SUM(C20:L20)</f>
        <v>-3264.3795281129446</v>
      </c>
      <c r="O20" s="84" t="s">
        <v>86</v>
      </c>
      <c r="P20" s="85" t="s">
        <v>87</v>
      </c>
      <c r="Q20" s="86" t="s">
        <v>85</v>
      </c>
      <c r="R20" s="86"/>
      <c r="S20" s="24">
        <f t="shared" si="1"/>
        <v>2864.2164751999999</v>
      </c>
      <c r="T20" s="37">
        <f>(' KF OECD Asia Oceania'!I32+' KF OECD Asia Oceania'!I33+' KF OECD Asia Oceania'!I34+' KF OECD Asia Oceania'!I36)*' KF OECD Asia Oceania'!I139+(' KF OECD Asia Oceania'!I35+' KF OECD Asia Oceania'!I38)*' KF OECD Asia Oceania'!I142+' KF OECD Asia Oceania'!I37*' KF OECD Asia Oceania'!I141</f>
        <v>0.87741527923860341</v>
      </c>
      <c r="U20" s="61"/>
      <c r="V20" s="92"/>
      <c r="W20" s="92"/>
      <c r="X20" s="92"/>
      <c r="Y20" s="92"/>
      <c r="Z20" s="92"/>
      <c r="AA20" s="92"/>
      <c r="AB20" s="92"/>
      <c r="AC20" s="92"/>
      <c r="AD20" s="92"/>
      <c r="AE20" s="92"/>
      <c r="AF20" s="92">
        <f>' KF OECD Asia Oceania'!I5*' KF OECD Asia Oceania'!I9*((' KF OECD Asia Oceania'!G32+' KF OECD Asia Oceania'!G33+' KF OECD Asia Oceania'!G34+' KF OECD Asia Oceania'!G36)*' KF OECD Asia Oceania'!G139+(' KF OECD Asia Oceania'!G35+' KF OECD Asia Oceania'!G38)*' KF OECD Asia Oceania'!G142+' KF OECD Asia Oceania'!G37*' KF OECD Asia Oceania'!G141)*-1</f>
        <v>2864.2164751999999</v>
      </c>
      <c r="AG20" s="92">
        <f>(N20+AF20)*-1</f>
        <v>400.16305291294475</v>
      </c>
      <c r="AH20" s="87">
        <f>-(C20*Emissionsfaktorer!$B$2+D20*Emissionsfaktorer!$B$3+E20*Emissionsfaktorer!$B$4+F20*Emissionsfaktorer!$B$5+G20*Emissionsfaktorer!$B$6+H20*Emissionsfaktorer!$B$7+I20*Emissionsfaktorer!$B$8+J20*Emissionsfaktorer!$B$9+K20*Emissionsfaktorer!$B$10+L20*Emissionsfaktorer!$B$11+M20*Emissionsfaktorer!$B$12)</f>
        <v>101.66899614324562</v>
      </c>
    </row>
    <row r="21" spans="3:34" x14ac:dyDescent="0.35">
      <c r="C21" s="92">
        <f>AF21*' KF OECD Asia Oceania'!I$40/T21*' KF OECD Asia Oceania'!I$139/' KF OECD Asia Oceania'!I$139*-1</f>
        <v>-8.5418880000000019</v>
      </c>
      <c r="D21" s="92"/>
      <c r="E21" s="92">
        <f>AF21*' KF OECD Asia Oceania'!I41/T21*' KF OECD Asia Oceania'!I$140/' KF OECD Asia Oceania'!I$140*-1</f>
        <v>-551.70547200000021</v>
      </c>
      <c r="F21" s="92">
        <f>AF21*' KF OECD Asia Oceania'!I$42/T21*' KF OECD Asia Oceania'!I$140/' KF OECD Asia Oceania'!I$140*-1</f>
        <v>-598.68585600000006</v>
      </c>
      <c r="G21" s="92"/>
      <c r="H21" s="92"/>
      <c r="I21" s="92">
        <f>AF21*' KF OECD Asia Oceania'!I$43/T21*' KF OECD Asia Oceania'!I$142/' KF OECD Asia Oceania'!I$142*-1</f>
        <v>-12.812832000000004</v>
      </c>
      <c r="J21" s="92">
        <f>AF21*' KF OECD Asia Oceania'!I$44/T21*' KF OECD Asia Oceania'!I$140/' KF OECD Asia Oceania'!I$140*-1</f>
        <v>-93.248944000000037</v>
      </c>
      <c r="K21" s="92">
        <f>AF21*' KF OECD Asia Oceania'!I$45/T21*' KF OECD Asia Oceania'!I$141/' KF OECD Asia Oceania'!I$141*-1</f>
        <v>-2097.1172480000005</v>
      </c>
      <c r="L21" s="92">
        <f>AF21*' KF OECD Asia Oceania'!I$46/T21*' KF OECD Asia Oceania'!I$142/' KF OECD Asia Oceania'!I$142*-1</f>
        <v>-35.339968000000013</v>
      </c>
      <c r="M21" s="92"/>
      <c r="N21" s="23">
        <f t="shared" ref="N21:N24" si="8">SUM(C21:L21)</f>
        <v>-3397.4522080000011</v>
      </c>
      <c r="O21" s="84" t="s">
        <v>88</v>
      </c>
      <c r="P21" s="85" t="s">
        <v>89</v>
      </c>
      <c r="Q21" s="86" t="s">
        <v>85</v>
      </c>
      <c r="R21" s="86"/>
      <c r="S21" s="24">
        <f t="shared" si="1"/>
        <v>3042.1599136000004</v>
      </c>
      <c r="T21" s="37">
        <f>(' KF OECD Asia Oceania'!I40+' KF OECD Asia Oceania'!I41+' KF OECD Asia Oceania'!I42+' KF OECD Asia Oceania'!I44)*' KF OECD Asia Oceania'!I139+(' KF OECD Asia Oceania'!I43+' KF OECD Asia Oceania'!I46)*' KF OECD Asia Oceania'!I142+' KF OECD Asia Oceania'!I45*' KF OECD Asia Oceania'!I141</f>
        <v>0.89542390219253365</v>
      </c>
      <c r="U21" s="61"/>
      <c r="V21" s="92"/>
      <c r="W21" s="92"/>
      <c r="X21" s="92"/>
      <c r="Y21" s="92"/>
      <c r="Z21" s="92"/>
      <c r="AA21" s="92"/>
      <c r="AB21" s="92"/>
      <c r="AC21" s="92"/>
      <c r="AD21" s="92"/>
      <c r="AE21" s="92"/>
      <c r="AF21" s="92">
        <f>' KF OECD Asia Oceania'!I5*' KF OECD Asia Oceania'!I10*((' KF OECD Asia Oceania'!G40+' KF OECD Asia Oceania'!G41+' KF OECD Asia Oceania'!G42+' KF OECD Asia Oceania'!G44)*' KF OECD Asia Oceania'!G139+(' KF OECD Asia Oceania'!G43+' KF OECD Asia Oceania'!G46)*' KF OECD Asia Oceania'!G142+' KF OECD Asia Oceania'!G45*' KF OECD Asia Oceania'!G141)*-1</f>
        <v>3042.1599136000004</v>
      </c>
      <c r="AG21" s="92">
        <f t="shared" ref="AG21:AG24" si="9">(N21+AF21)*-1</f>
        <v>355.29229440000063</v>
      </c>
      <c r="AH21" s="87">
        <f>-(C21*Emissionsfaktorer!$B$2+D21*Emissionsfaktorer!$B$3+E21*Emissionsfaktorer!$B$4+F21*Emissionsfaktorer!$B$5+G21*Emissionsfaktorer!$B$6+H21*Emissionsfaktorer!$B$7+I21*Emissionsfaktorer!$B$8+J21*Emissionsfaktorer!$B$9+K21*Emissionsfaktorer!$B$10+L21*Emissionsfaktorer!$B$11+M21*Emissionsfaktorer!$B$12)</f>
        <v>76.866189024000022</v>
      </c>
    </row>
    <row r="22" spans="3:34" x14ac:dyDescent="0.35">
      <c r="C22" s="92">
        <f>AF22*' KF OECD Asia Oceania'!I$48/T22*' KF OECD Asia Oceania'!I$139/' KF OECD Asia Oceania'!I$139*-1</f>
        <v>-1.8842399999999999</v>
      </c>
      <c r="D22" s="92"/>
      <c r="E22" s="92">
        <f>AF22*' KF OECD Asia Oceania'!I49/T22*' KF OECD Asia Oceania'!I$140/' KF OECD Asia Oceania'!I$140*-1</f>
        <v>-257.13595199999997</v>
      </c>
      <c r="F22" s="92">
        <f>AF22*' KF OECD Asia Oceania'!I$50/T22*' KF OECD Asia Oceania'!I$140/' KF OECD Asia Oceania'!I$140*-1</f>
        <v>-2.3867039999999999</v>
      </c>
      <c r="G22" s="92"/>
      <c r="H22" s="92"/>
      <c r="I22" s="92">
        <f>AF22*' KF OECD Asia Oceania'!I$51/T22*' KF OECD Asia Oceania'!I$142/' KF OECD Asia Oceania'!I$142*-1</f>
        <v>-2.2610879999999995</v>
      </c>
      <c r="J22" s="92">
        <f>AF22*' KF OECD Asia Oceania'!I$52/T22*' KF OECD Asia Oceania'!I$140/' KF OECD Asia Oceania'!I$140*-1</f>
        <v>-2.9310399999999999</v>
      </c>
      <c r="K22" s="92">
        <f>AF22*' KF OECD Asia Oceania'!I$53/T22*' KF OECD Asia Oceania'!I$141/' KF OECD Asia Oceania'!I$141*-1</f>
        <v>-86.926272000000012</v>
      </c>
      <c r="L22" s="92">
        <f>AF22*' KF OECD Asia Oceania'!I$54/T22*' KF OECD Asia Oceania'!I$142/' KF OECD Asia Oceania'!I$142*-1</f>
        <v>0</v>
      </c>
      <c r="M22" s="92"/>
      <c r="N22" s="23">
        <f t="shared" si="8"/>
        <v>-353.52529599999991</v>
      </c>
      <c r="O22" s="84" t="s">
        <v>90</v>
      </c>
      <c r="P22" s="85" t="s">
        <v>91</v>
      </c>
      <c r="Q22" s="86" t="s">
        <v>85</v>
      </c>
      <c r="R22" s="86"/>
      <c r="S22" s="24">
        <f t="shared" si="1"/>
        <v>164.14242719999999</v>
      </c>
      <c r="T22" s="37">
        <f>(' KF OECD Asia Oceania'!I48+' KF OECD Asia Oceania'!I49+' KF OECD Asia Oceania'!I50+' KF OECD Asia Oceania'!I52)*' KF OECD Asia Oceania'!I140+(' KF OECD Asia Oceania'!I51+' KF OECD Asia Oceania'!I54)*' KF OECD Asia Oceania'!I142+' KF OECD Asia Oceania'!I53*' KF OECD Asia Oceania'!I141</f>
        <v>0.4643017884638162</v>
      </c>
      <c r="U22" s="61"/>
      <c r="V22" s="92"/>
      <c r="W22" s="92"/>
      <c r="X22" s="92"/>
      <c r="Y22" s="92"/>
      <c r="Z22" s="92"/>
      <c r="AA22" s="92"/>
      <c r="AB22" s="92"/>
      <c r="AC22" s="92"/>
      <c r="AD22" s="92"/>
      <c r="AE22" s="92"/>
      <c r="AF22" s="92">
        <f>((' KF OECD Asia Oceania'!G48+' KF OECD Asia Oceania'!G49+' KF OECD Asia Oceania'!G50+' KF OECD Asia Oceania'!G52)*' KF OECD Asia Oceania'!G140+(' KF OECD Asia Oceania'!G51+' KF OECD Asia Oceania'!G54)*' KF OECD Asia Oceania'!G142+' KF OECD Asia Oceania'!G53*' KF OECD Asia Oceania'!G141)*' KF OECD Asia Oceania'!I11*' KF OECD Asia Oceania'!I5*-1</f>
        <v>164.14242719999999</v>
      </c>
      <c r="AG22" s="92">
        <f t="shared" si="9"/>
        <v>189.38286879999993</v>
      </c>
      <c r="AH22" s="87">
        <f>-(C22*Emissionsfaktorer!$B$2+D22*Emissionsfaktorer!$B$3+E22*Emissionsfaktorer!$B$4+F22*Emissionsfaktorer!$B$5+G22*Emissionsfaktorer!$B$6+H22*Emissionsfaktorer!$B$7+I22*Emissionsfaktorer!$B$8+J22*Emissionsfaktorer!$B$9+K22*Emissionsfaktorer!$B$10+L22*Emissionsfaktorer!$B$11+M22*Emissionsfaktorer!$B$12)</f>
        <v>19.857377279999998</v>
      </c>
    </row>
    <row r="23" spans="3:34" x14ac:dyDescent="0.35">
      <c r="C23" s="92">
        <f>AF23*' KF OECD Asia Oceania'!I$56/T23*' KF OECD Asia Oceania'!I$139/' KF OECD Asia Oceania'!I$139*-1</f>
        <v>0</v>
      </c>
      <c r="D23" s="92"/>
      <c r="E23" s="92">
        <f>AF23*' KF OECD Asia Oceania'!I57/T23*' KF OECD Asia Oceania'!I$140/' KF OECD Asia Oceania'!I$140*-1</f>
        <v>-87.428735999999986</v>
      </c>
      <c r="F23" s="92">
        <f>AF23*' KF OECD Asia Oceania'!I$58/T23*' KF OECD Asia Oceania'!I$140/' KF OECD Asia Oceania'!I$140*-1</f>
        <v>-4.1871999999999993E-2</v>
      </c>
      <c r="G23" s="92"/>
      <c r="H23" s="92"/>
      <c r="I23" s="92">
        <f>AF23*' KF OECD Asia Oceania'!I$59/T23*' KF OECD Asia Oceania'!I$142/' KF OECD Asia Oceania'!I$142*-1</f>
        <v>-0.12561599999999998</v>
      </c>
      <c r="J23" s="92">
        <f>AF23*' KF OECD Asia Oceania'!I$60/T23*' KF OECD Asia Oceania'!I$140/' KF OECD Asia Oceania'!I$140*-1</f>
        <v>0</v>
      </c>
      <c r="K23" s="92">
        <f>AF23*' KF OECD Asia Oceania'!I$61/T23*' KF OECD Asia Oceania'!I$141/' KF OECD Asia Oceania'!I$141*-1</f>
        <v>-12.017263999999999</v>
      </c>
      <c r="L23" s="92">
        <f>AF23*' KF OECD Asia Oceania'!I$62/T23*' KF OECD Asia Oceania'!I$142/' KF OECD Asia Oceania'!I$142*-1</f>
        <v>0</v>
      </c>
      <c r="M23" s="92"/>
      <c r="N23" s="23">
        <f t="shared" si="8"/>
        <v>-99.613487999999975</v>
      </c>
      <c r="O23" s="84" t="s">
        <v>92</v>
      </c>
      <c r="P23" s="85" t="s">
        <v>93</v>
      </c>
      <c r="Q23" s="86" t="s">
        <v>85</v>
      </c>
      <c r="R23" s="86"/>
      <c r="S23" s="24">
        <f t="shared" si="1"/>
        <v>37.783199199999984</v>
      </c>
      <c r="T23" s="37">
        <f>(' KF OECD Asia Oceania'!I56+' KF OECD Asia Oceania'!I57+' KF OECD Asia Oceania'!I58+' KF OECD Asia Oceania'!I60)*' KF OECD Asia Oceania'!I140+(' KF OECD Asia Oceania'!I59+' KF OECD Asia Oceania'!I62)*' KF OECD Asia Oceania'!I142+' KF OECD Asia Oceania'!I61*' KF OECD Asia Oceania'!I141</f>
        <v>0.37929802437999149</v>
      </c>
      <c r="U23" s="61"/>
      <c r="V23" s="92"/>
      <c r="W23" s="92"/>
      <c r="X23" s="92"/>
      <c r="Y23" s="92"/>
      <c r="Z23" s="92"/>
      <c r="AA23" s="92"/>
      <c r="AB23" s="92"/>
      <c r="AC23" s="92"/>
      <c r="AD23" s="92"/>
      <c r="AE23" s="92"/>
      <c r="AF23" s="92">
        <f>((' KF OECD Asia Oceania'!G56+' KF OECD Asia Oceania'!G57+' KF OECD Asia Oceania'!G58+' KF OECD Asia Oceania'!G60)*' KF OECD Asia Oceania'!G140+(' KF OECD Asia Oceania'!G59+' KF OECD Asia Oceania'!G62)*' KF OECD Asia Oceania'!G142+' KF OECD Asia Oceania'!G61*' KF OECD Asia Oceania'!G141)*' KF OECD Asia Oceania'!I5*' KF OECD Asia Oceania'!I12*-1</f>
        <v>37.783199199999984</v>
      </c>
      <c r="AG23" s="92">
        <f t="shared" si="9"/>
        <v>61.830288799999991</v>
      </c>
      <c r="AH23" s="87">
        <f>-(C23*Emissionsfaktorer!$B$2+D23*Emissionsfaktorer!$B$3+E23*Emissionsfaktorer!$B$4+F23*Emissionsfaktorer!$B$5+G23*Emissionsfaktorer!$B$6+H23*Emissionsfaktorer!$B$7+I23*Emissionsfaktorer!$B$8+J23*Emissionsfaktorer!$B$9+K23*Emissionsfaktorer!$B$10+L23*Emissionsfaktorer!$B$11+M23*Emissionsfaktorer!$B$12)</f>
        <v>6.6469706399999993</v>
      </c>
    </row>
    <row r="24" spans="3:34" x14ac:dyDescent="0.35">
      <c r="C24" s="92">
        <f>AF24*' KF OECD Asia Oceania'!I$64/T24*' KF OECD Asia Oceania'!I$139/' KF OECD Asia Oceania'!I$139*-1</f>
        <v>0</v>
      </c>
      <c r="D24" s="92"/>
      <c r="E24" s="92">
        <f>AF24*' KF OECD Asia Oceania'!I65/T24*' KF OECD Asia Oceania'!I$140/' KF OECD Asia Oceania'!I$140*-1</f>
        <v>-67.288303999999997</v>
      </c>
      <c r="F24" s="92">
        <f>AF24*' KF OECD Asia Oceania'!I$66/T24*' KF OECD Asia Oceania'!I$140/' KF OECD Asia Oceania'!I$140*-1</f>
        <v>-3.97784</v>
      </c>
      <c r="G24" s="92"/>
      <c r="H24" s="92"/>
      <c r="I24" s="92">
        <f>AF24*' KF OECD Asia Oceania'!I$67/T24*' KF OECD Asia Oceania'!I$142/' KF OECD Asia Oceania'!I$142*-1</f>
        <v>-0.29310399999999998</v>
      </c>
      <c r="J24" s="92">
        <f>AF24*' KF OECD Asia Oceania'!I$68/T24*' KF OECD Asia Oceania'!I$140/' KF OECD Asia Oceania'!I$140*-1</f>
        <v>-23.071471999999996</v>
      </c>
      <c r="K24" s="92">
        <f>AF24*' KF OECD Asia Oceania'!I$69/T24*' KF OECD Asia Oceania'!I$141/' KF OECD Asia Oceania'!I$141*-1</f>
        <v>-16.371952</v>
      </c>
      <c r="L24" s="92">
        <f>AF24*' KF OECD Asia Oceania'!I$70/T24*' KF OECD Asia Oceania'!I$142/' KF OECD Asia Oceania'!I$142*-1</f>
        <v>0</v>
      </c>
      <c r="M24" s="92"/>
      <c r="N24" s="23">
        <f t="shared" si="8"/>
        <v>-111.00267199999999</v>
      </c>
      <c r="O24" s="84" t="s">
        <v>94</v>
      </c>
      <c r="P24" s="85" t="s">
        <v>95</v>
      </c>
      <c r="Q24" s="86" t="s">
        <v>85</v>
      </c>
      <c r="R24" s="86"/>
      <c r="S24" s="24">
        <f t="shared" si="1"/>
        <v>91.316551199999992</v>
      </c>
      <c r="T24" s="37">
        <f>(' KF OECD Asia Oceania'!I64+' KF OECD Asia Oceania'!I65+' KF OECD Asia Oceania'!I66+' KF OECD Asia Oceania'!I68)*' KF OECD Asia Oceania'!I139+(' KF OECD Asia Oceania'!I67+' KF OECD Asia Oceania'!I70)*' KF OECD Asia Oceania'!I142+' KF OECD Asia Oceania'!I69*' KF OECD Asia Oceania'!I141</f>
        <v>0.82265182949830251</v>
      </c>
      <c r="U24" s="61"/>
      <c r="V24" s="92"/>
      <c r="W24" s="92"/>
      <c r="X24" s="92"/>
      <c r="Y24" s="92"/>
      <c r="Z24" s="92"/>
      <c r="AA24" s="92"/>
      <c r="AB24" s="92"/>
      <c r="AC24" s="92"/>
      <c r="AD24" s="92"/>
      <c r="AE24" s="92"/>
      <c r="AF24" s="92">
        <f>((' KF OECD Asia Oceania'!G64+' KF OECD Asia Oceania'!G65+' KF OECD Asia Oceania'!G66+' KF OECD Asia Oceania'!G68)*' KF OECD Asia Oceania'!G139+(' KF OECD Asia Oceania'!G67+' KF OECD Asia Oceania'!G70)*' KF OECD Asia Oceania'!G142+' KF OECD Asia Oceania'!G69*' KF OECD Asia Oceania'!G141)*' KF OECD Asia Oceania'!I5*' KF OECD Asia Oceania'!I13*-1</f>
        <v>91.316551199999992</v>
      </c>
      <c r="AG24" s="92">
        <f t="shared" si="9"/>
        <v>19.686120799999998</v>
      </c>
      <c r="AH24" s="87">
        <f>-(C24*Emissionsfaktorer!$B$2+D24*Emissionsfaktorer!$B$3+E24*Emissionsfaktorer!$B$4+F24*Emissionsfaktorer!$B$5+G24*Emissionsfaktorer!$B$6+H24*Emissionsfaktorer!$B$7+I24*Emissionsfaktorer!$B$8+J24*Emissionsfaktorer!$B$9+K24*Emissionsfaktorer!$B$10+L24*Emissionsfaktorer!$B$11+M24*Emissionsfaktorer!$B$12)</f>
        <v>5.3406479839999994</v>
      </c>
    </row>
    <row r="25" spans="3:34" x14ac:dyDescent="0.35"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23">
        <f>N16</f>
        <v>-20301.262352000002</v>
      </c>
      <c r="O25" s="10" t="s">
        <v>11</v>
      </c>
      <c r="P25" s="71" t="s">
        <v>96</v>
      </c>
      <c r="Q25" s="71"/>
      <c r="R25" s="71"/>
      <c r="S25" s="24">
        <f t="shared" si="1"/>
        <v>13978.979761600001</v>
      </c>
      <c r="T25" s="37">
        <f>AF25/N25*-1</f>
        <v>0.68857687365548703</v>
      </c>
      <c r="U25" s="61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>
        <f>AF16</f>
        <v>13978.979761600001</v>
      </c>
      <c r="AG25" s="14">
        <f>-(S25+N25)</f>
        <v>6322.2825904000001</v>
      </c>
      <c r="AH25" s="14"/>
    </row>
    <row r="28" spans="3:34" x14ac:dyDescent="0.35">
      <c r="X28" s="95"/>
    </row>
    <row r="29" spans="3:34" x14ac:dyDescent="0.35">
      <c r="X29" s="95"/>
    </row>
    <row r="30" spans="3:34" x14ac:dyDescent="0.35">
      <c r="X30" s="95"/>
    </row>
  </sheetData>
  <pageMargins left="0.7" right="0.7" top="0.75" bottom="0.75" header="0.3" footer="0.3"/>
  <pageSetup paperSize="9" orientation="portrait" horizontalDpi="4294967293" verticalDpi="4294967293" r:id="rId1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sheetPr codeName="Ark71">
    <tabColor theme="9" tint="-0.499984740745262"/>
  </sheetPr>
  <dimension ref="A1:K142"/>
  <sheetViews>
    <sheetView zoomScaleNormal="100" workbookViewId="0">
      <pane ySplit="1" topLeftCell="A96" activePane="bottomLeft" state="frozen"/>
      <selection pane="bottomLeft" activeCell="H99" sqref="H99:I99"/>
    </sheetView>
  </sheetViews>
  <sheetFormatPr defaultRowHeight="14.5" x14ac:dyDescent="0.35"/>
  <cols>
    <col min="1" max="1" width="71" customWidth="1"/>
    <col min="2" max="2" width="9.7265625" customWidth="1"/>
    <col min="10" max="10" width="17" customWidth="1"/>
    <col min="11" max="11" width="13.7265625" customWidth="1"/>
  </cols>
  <sheetData>
    <row r="1" spans="1:11" ht="17.25" customHeight="1" x14ac:dyDescent="0.35">
      <c r="A1" t="s">
        <v>128</v>
      </c>
      <c r="B1" s="76">
        <f>(('OECD Asia Oceania 1995'!$B12+'OECD Asia Oceania 1995'!$B13+'OECD Asia Oceania 1995'!$B14+'OECD Asia Oceania 1995'!$B20-'OECD Asia Oceania 1995'!$B22+'OECD Asia Oceania 1995'!$B30)*Emissionsfaktorer!$B2*-1+('OECD Asia Oceania 1995'!$D22-'OECD Asia Oceania 1995'!$D30-'OECD Asia Oceania 1995'!$D12-'OECD Asia Oceania 1995'!$D13-'OECD Asia Oceania 1995'!$D14-'OECD Asia Oceania 1995'!$D20)*Emissionsfaktorer!$B4+('OECD Asia Oceania 1995'!$E12+'OECD Asia Oceania 1995'!$E13+'OECD Asia Oceania 1995'!$E14+'OECD Asia Oceania 1995'!$E20-'OECD Asia Oceania 1995'!$E22+'OECD Asia Oceania 1995'!$E30)*Emissionsfaktorer!$B5*-1)*0.041872</f>
        <v>1743.617745152</v>
      </c>
      <c r="C1" s="76">
        <f>(('OECD Asia Oceania 2000'!$B12+'OECD Asia Oceania 2000'!$B13+'OECD Asia Oceania 2000'!$B14+'OECD Asia Oceania 2000'!$B20-'OECD Asia Oceania 2000'!$B22+'OECD Asia Oceania 2000'!$B30)*Emissionsfaktorer!$B2*-1+('OECD Asia Oceania 2000'!$D22-'OECD Asia Oceania 2000'!$D30-'OECD Asia Oceania 2000'!$D12-'OECD Asia Oceania 2000'!$D13-'OECD Asia Oceania 2000'!$D14-'OECD Asia Oceania 2000'!$D20)*Emissionsfaktorer!$B4+('OECD Asia Oceania 2000'!$E12+'OECD Asia Oceania 2000'!$E13+'OECD Asia Oceania 2000'!$E14+'OECD Asia Oceania 2000'!$E20-'OECD Asia Oceania 2000'!$E22+'OECD Asia Oceania 2000'!$E30)*Emissionsfaktorer!$B5*-1)*0.041872</f>
        <v>1917.1693132159999</v>
      </c>
      <c r="D1" s="76">
        <f>(('OECD Asia Oceania 2005'!$B12+'OECD Asia Oceania 2005'!$B13+'OECD Asia Oceania 2005'!$B14+'OECD Asia Oceania 2005'!$B20-'OECD Asia Oceania 2005'!$B22+'OECD Asia Oceania 2005'!$B30)*Emissionsfaktorer!$B2*-1+('OECD Asia Oceania 2005'!$D22-'OECD Asia Oceania 2005'!$D30-'OECD Asia Oceania 2005'!$D12-'OECD Asia Oceania 2005'!$D13-'OECD Asia Oceania 2005'!$D14-'OECD Asia Oceania 2005'!$D20)*Emissionsfaktorer!$B4+('OECD Asia Oceania 2005'!$E12+'OECD Asia Oceania 2005'!$E13+'OECD Asia Oceania 2005'!$E14+'OECD Asia Oceania 2005'!$E20-'OECD Asia Oceania 2005'!$E22+'OECD Asia Oceania 2005'!$E30)*Emissionsfaktorer!$B5*-1)*0.041872</f>
        <v>2020.1627509279999</v>
      </c>
      <c r="E1" s="76">
        <f>(('OECD Asia Oceania 2010'!$B12+'OECD Asia Oceania 2010'!$B13+'OECD Asia Oceania 2010'!$B14+'OECD Asia Oceania 2010'!$B20-'OECD Asia Oceania 2010'!$B22+'OECD Asia Oceania 2010'!$B30)*Emissionsfaktorer!$B2*-1+('OECD Asia Oceania 2010'!$D22-'OECD Asia Oceania 2010'!$D30-'OECD Asia Oceania 2010'!$D12-'OECD Asia Oceania 2010'!$D13-'OECD Asia Oceania 2010'!$D14-'OECD Asia Oceania 2010'!$D20)*Emissionsfaktorer!$B4+('OECD Asia Oceania 2010'!$E12+'OECD Asia Oceania 2010'!$E13+'OECD Asia Oceania 2010'!$E14+'OECD Asia Oceania 2010'!$E20-'OECD Asia Oceania 2010'!$E22+'OECD Asia Oceania 2010'!$E30)*Emissionsfaktorer!$B5*-1)*0.041872</f>
        <v>2071.1308148479998</v>
      </c>
      <c r="F1" s="76">
        <f>(('OECD Asia Oceania 2015'!$B12+'OECD Asia Oceania 2015'!$B13+'OECD Asia Oceania 2015'!$B14+'OECD Asia Oceania 2015'!$B20-'OECD Asia Oceania 2015'!$B22+'OECD Asia Oceania 2015'!$B30)*Emissionsfaktorer!$B2*-1+('OECD Asia Oceania 2015'!$D22-'OECD Asia Oceania 2015'!$D30-'OECD Asia Oceania 2015'!$D12-'OECD Asia Oceania 2015'!$D13-'OECD Asia Oceania 2015'!$D14-'OECD Asia Oceania 2015'!$D20)*Emissionsfaktorer!$B4+('OECD Asia Oceania 2015'!$E12+'OECD Asia Oceania 2015'!$E13+'OECD Asia Oceania 2015'!$E14+'OECD Asia Oceania 2015'!$E20-'OECD Asia Oceania 2015'!$E22+'OECD Asia Oceania 2015'!$E30)*Emissionsfaktorer!$B5*-1)*0.041872</f>
        <v>2100.3862369119997</v>
      </c>
      <c r="G1" s="76">
        <f>(('OECD Asia Oceania 2018'!$B12+'OECD Asia Oceania 2018'!$B13+'OECD Asia Oceania 2018'!$B14+'OECD Asia Oceania 2018'!$B20-'OECD Asia Oceania 2018'!$B22+'OECD Asia Oceania 2018'!$B30)*Emissionsfaktorer!$B2*-1+('OECD Asia Oceania 2018'!$D22-'OECD Asia Oceania 2018'!$D30-'OECD Asia Oceania 2018'!$D12-'OECD Asia Oceania 2018'!$D13-'OECD Asia Oceania 2018'!$D14-'OECD Asia Oceania 2018'!$D20)*Emissionsfaktorer!$B4+('OECD Asia Oceania 2018'!$E12+'OECD Asia Oceania 2018'!$E13+'OECD Asia Oceania 2018'!$E14+'OECD Asia Oceania 2018'!$E20-'OECD Asia Oceania 2018'!$E22+'OECD Asia Oceania 2018'!$E30)*Emissionsfaktorer!$B5*-1)*0.041872</f>
        <v>2060.989709552</v>
      </c>
      <c r="H1" s="83">
        <f>'BL OECD Asia Oceania 2030'!AH8+'BL OECD Asia Oceania 2030'!AH16</f>
        <v>2051.6771156172995</v>
      </c>
      <c r="I1" s="83">
        <f>'BL OECD Asia Oceania 2050'!AH8+'BL OECD Asia Oceania 2050'!AH16</f>
        <v>2051.6771156172995</v>
      </c>
    </row>
    <row r="2" spans="1:11" ht="17.25" customHeight="1" x14ac:dyDescent="0.35">
      <c r="B2" s="76">
        <f>' KF Middle East'!B1+' KF Africa'!B1+' KF China'!B1+' KF Asia excluding China'!B1+' KF Non-OECD Americas'!B1+' KF Non-OECD Europe Eurasia '!B1+' KF OECD Europe'!B1+' KF OECD Asia Oceania'!B1+' KF OECD Americas'!B1</f>
        <v>20512.548212767997</v>
      </c>
      <c r="C2" s="76">
        <f>' KF Middle East'!C1+' KF Africa'!C1+' KF China'!C1+' KF Asia excluding China'!C1+' KF Non-OECD Americas'!C1+' KF Non-OECD Europe Eurasia '!C1+' KF OECD Europe'!C1+' KF OECD Asia Oceania'!C1+' KF OECD Americas'!C1</f>
        <v>22293.933162016001</v>
      </c>
      <c r="D2" s="76">
        <f>' KF Middle East'!D1+' KF Africa'!D1+' KF China'!D1+' KF Asia excluding China'!D1+' KF Non-OECD Americas'!D1+' KF Non-OECD Europe Eurasia '!D1+' KF OECD Europe'!D1+' KF OECD Asia Oceania'!D1+' KF OECD Americas'!D1</f>
        <v>25992.162037168</v>
      </c>
      <c r="E2" s="76">
        <f>' KF Middle East'!E1+' KF Africa'!E1+' KF China'!E1+' KF Asia excluding China'!E1+' KF Non-OECD Americas'!E1+' KF Non-OECD Europe Eurasia '!E1+' KF OECD Europe'!E1+' KF OECD Asia Oceania'!E1+' KF OECD Americas'!E1</f>
        <v>29123.978319039998</v>
      </c>
      <c r="F2" s="76">
        <f>' KF Middle East'!F1+' KF Africa'!F1+' KF China'!F1+' KF Asia excluding China'!F1+' KF Non-OECD Americas'!F1+' KF Non-OECD Europe Eurasia '!F1+' KF OECD Europe'!F1+' KF OECD Asia Oceania'!F1+' KF OECD Americas'!F1</f>
        <v>30670.019138096002</v>
      </c>
      <c r="G2" s="76">
        <f>' KF Middle East'!G1+' KF Africa'!G1+' KF China'!G1+' KF Asia excluding China'!G1+' KF Non-OECD Americas'!G1+' KF Non-OECD Europe Eurasia '!G1+' KF OECD Europe'!G1+' KF OECD Asia Oceania'!G1+' KF OECD Americas'!G1</f>
        <v>31652.588578768002</v>
      </c>
      <c r="H2" s="101">
        <f>' KF Middle East'!H1+' KF Africa'!H1+' KF China'!H1+' KF Asia excluding China'!H1+' KF Non-OECD Americas'!H1+' KF Non-OECD Europe Eurasia '!H1+' KF OECD Europe'!H1+' KF OECD Asia Oceania'!H1+' KF OECD Americas'!H1</f>
        <v>31634.759971648018</v>
      </c>
      <c r="I2" s="101">
        <f>' KF Middle East'!I1+' KF Africa'!I1+' KF China'!I1+' KF Asia excluding China'!I1+' KF Non-OECD Americas'!I1+' KF Non-OECD Europe Eurasia '!I1+' KF OECD Europe'!I1+' KF OECD Asia Oceania'!I1+' KF OECD Americas'!I1</f>
        <v>31634.759971648018</v>
      </c>
      <c r="J2" t="s">
        <v>129</v>
      </c>
    </row>
    <row r="3" spans="1:11" ht="17.25" customHeight="1" x14ac:dyDescent="0.35">
      <c r="B3" s="117" t="s">
        <v>130</v>
      </c>
      <c r="C3" s="117"/>
      <c r="D3" s="117"/>
      <c r="E3" s="117"/>
      <c r="F3" s="117"/>
      <c r="G3" s="117"/>
      <c r="H3" s="117"/>
      <c r="I3" s="117"/>
    </row>
    <row r="4" spans="1:11" ht="14.25" customHeight="1" x14ac:dyDescent="0.35">
      <c r="B4" s="41">
        <v>1995</v>
      </c>
      <c r="C4" s="114">
        <v>2000</v>
      </c>
      <c r="D4" s="114">
        <v>2005</v>
      </c>
      <c r="E4" s="114">
        <v>2010</v>
      </c>
      <c r="F4" s="114">
        <v>2015</v>
      </c>
      <c r="G4" s="114">
        <v>2018</v>
      </c>
      <c r="H4" s="35">
        <v>2030</v>
      </c>
      <c r="I4" s="35">
        <v>2050</v>
      </c>
    </row>
    <row r="5" spans="1:11" x14ac:dyDescent="0.35">
      <c r="A5" s="30" t="s">
        <v>131</v>
      </c>
      <c r="B5" s="7">
        <f>('OECD Asia Oceania 1995'!$L22-'OECD Asia Oceania 1995'!$L30)*0.041872*-1</f>
        <v>-18982.671200000001</v>
      </c>
      <c r="C5" s="7">
        <f>('OECD Asia Oceania 2000'!$L22-'OECD Asia Oceania 2000'!$L30)*0.041872*-1</f>
        <v>-20486.587823999998</v>
      </c>
      <c r="D5" s="7">
        <f>('OECD Asia Oceania 2005'!$L22-'OECD Asia Oceania 2005'!$L30)*0.041872*-1</f>
        <v>-21075.601247999999</v>
      </c>
      <c r="E5" s="7">
        <f>('OECD Asia Oceania 2010'!$L22-'OECD Asia Oceania 2010'!$L30)*0.041872*-1</f>
        <v>-20742.258256000001</v>
      </c>
      <c r="F5" s="7">
        <f>('OECD Asia Oceania 2015'!$L22-'OECD Asia Oceania 2015'!$L30)*0.041872*-1</f>
        <v>-20288.072671999998</v>
      </c>
      <c r="G5" s="7">
        <f>('OECD Asia Oceania 2018'!$L22-'OECD Asia Oceania 2018'!$L30)*0.041872*-1</f>
        <v>-20301.262352000002</v>
      </c>
      <c r="H5" s="79">
        <f>G5</f>
        <v>-20301.262352000002</v>
      </c>
      <c r="I5" s="79">
        <f>H5</f>
        <v>-20301.262352000002</v>
      </c>
      <c r="K5" s="34"/>
    </row>
    <row r="6" spans="1:11" x14ac:dyDescent="0.35">
      <c r="A6" s="31" t="s">
        <v>132</v>
      </c>
      <c r="B6" s="80"/>
      <c r="C6" s="80"/>
      <c r="D6" s="80"/>
      <c r="E6" s="80"/>
      <c r="F6" s="80"/>
      <c r="G6" s="80"/>
      <c r="H6" s="33">
        <f t="shared" ref="H6:I68" si="0">G6</f>
        <v>0</v>
      </c>
      <c r="I6" s="33"/>
    </row>
    <row r="7" spans="1:11" x14ac:dyDescent="0.35">
      <c r="A7" s="30" t="s">
        <v>133</v>
      </c>
      <c r="B7" s="40">
        <f>('OECD Asia Oceania 1995'!$L23/B$5*0.041872*-1)</f>
        <v>0.36280577919929408</v>
      </c>
      <c r="C7" s="40">
        <f>('OECD Asia Oceania 2000'!$L23/C$5*0.041872*-1)</f>
        <v>0.35078392779402662</v>
      </c>
      <c r="D7" s="40">
        <f>('OECD Asia Oceania 2005'!$L23/D$5*0.041872*-1)</f>
        <v>0.33548299936026577</v>
      </c>
      <c r="E7" s="40">
        <f>('OECD Asia Oceania 2010'!$L23/E$5*0.041872*-1)</f>
        <v>0.33347598678167761</v>
      </c>
      <c r="F7" s="40">
        <f>('OECD Asia Oceania 2015'!$L23/F$5*0.041872*-1)</f>
        <v>0.33606658878986889</v>
      </c>
      <c r="G7" s="40">
        <f>('OECD Asia Oceania 2018'!$L23/G$5*0.041872*-1)</f>
        <v>0.33248219519388827</v>
      </c>
      <c r="H7" s="77">
        <f t="shared" si="0"/>
        <v>0.33248219519388827</v>
      </c>
      <c r="I7" s="77">
        <f>H7</f>
        <v>0.33248219519388827</v>
      </c>
    </row>
    <row r="8" spans="1:11" x14ac:dyDescent="0.35">
      <c r="A8" s="30" t="s">
        <v>134</v>
      </c>
      <c r="B8" s="40">
        <f>'OECD Asia Oceania 1995'!$L24/B$5*0.041872*-1</f>
        <v>0.30961729348185724</v>
      </c>
      <c r="C8" s="40">
        <f>'OECD Asia Oceania 2000'!$L24/C$5*0.041872*-1</f>
        <v>0.30541606116905495</v>
      </c>
      <c r="D8" s="40">
        <f>'OECD Asia Oceania 2005'!$L24/D$5*0.041872*-1</f>
        <v>0.30227840757826813</v>
      </c>
      <c r="E8" s="40">
        <f>'OECD Asia Oceania 2010'!$L24/E$5*0.041872*-1</f>
        <v>0.30002846340030642</v>
      </c>
      <c r="F8" s="40">
        <f>'OECD Asia Oceania 2015'!$L24/F$5*0.041872*-1</f>
        <v>0.30858405947255668</v>
      </c>
      <c r="G8" s="40">
        <f>'OECD Asia Oceania 2018'!$L24/G$5*0.041872*-1</f>
        <v>0.3115784349920902</v>
      </c>
      <c r="H8" s="77">
        <f t="shared" si="0"/>
        <v>0.3115784349920902</v>
      </c>
      <c r="I8" s="77">
        <f t="shared" si="0"/>
        <v>0.3115784349920902</v>
      </c>
    </row>
    <row r="9" spans="1:11" x14ac:dyDescent="0.35">
      <c r="A9" s="30" t="s">
        <v>135</v>
      </c>
      <c r="B9" s="40">
        <f>'OECD Asia Oceania 1995'!$L25/B$5*0.041872*-1</f>
        <v>0.14580787471048859</v>
      </c>
      <c r="C9" s="40">
        <f>'OECD Asia Oceania 2000'!$L25/C$5*0.041872*-1</f>
        <v>0.15661796115413465</v>
      </c>
      <c r="D9" s="40">
        <f>'OECD Asia Oceania 2005'!$L25/D$5*0.041872*-1</f>
        <v>0.16324945264973159</v>
      </c>
      <c r="E9" s="40">
        <f>'OECD Asia Oceania 2010'!$L25/E$5*0.041872*-1</f>
        <v>0.17159796759209725</v>
      </c>
      <c r="F9" s="40">
        <f>'OECD Asia Oceania 2015'!$L25/F$5*0.041872*-1</f>
        <v>0.15918650392342207</v>
      </c>
      <c r="G9" s="40">
        <f>'OECD Asia Oceania 2018'!$L25/G$5*0.041872*-1</f>
        <v>0.16079910733621949</v>
      </c>
      <c r="H9" s="89">
        <f>1-H7-H8-H10-H11-H12-H13</f>
        <v>0.16079910733621947</v>
      </c>
      <c r="I9" s="89">
        <f>1-I7-I8-I10-I11-I12-I13</f>
        <v>0.16079910733621947</v>
      </c>
    </row>
    <row r="10" spans="1:11" x14ac:dyDescent="0.35">
      <c r="A10" s="30" t="s">
        <v>136</v>
      </c>
      <c r="B10" s="40">
        <f>'OECD Asia Oceania 1995'!$L26/B$5*0.041872*-1</f>
        <v>0.14842174920039705</v>
      </c>
      <c r="C10" s="40">
        <f>'OECD Asia Oceania 2000'!$L26/C$5*0.041872*-1</f>
        <v>0.15650350422162135</v>
      </c>
      <c r="D10" s="40">
        <f>'OECD Asia Oceania 2005'!$L26/D$5*0.041872*-1</f>
        <v>0.16884414722629507</v>
      </c>
      <c r="E10" s="40">
        <f>'OECD Asia Oceania 2010'!$L26/E$5*0.041872*-1</f>
        <v>0.16647859289868441</v>
      </c>
      <c r="F10" s="40">
        <f>'OECD Asia Oceania 2015'!$L26/F$5*0.041872*-1</f>
        <v>0.16824896909556972</v>
      </c>
      <c r="G10" s="40">
        <f>'OECD Asia Oceania 2018'!$L26/G$5*0.041872*-1</f>
        <v>0.16735177099296469</v>
      </c>
      <c r="H10" s="88">
        <f t="shared" si="0"/>
        <v>0.16735177099296469</v>
      </c>
      <c r="I10" s="88">
        <f t="shared" si="0"/>
        <v>0.16735177099296469</v>
      </c>
    </row>
    <row r="11" spans="1:11" x14ac:dyDescent="0.35">
      <c r="A11" s="30" t="s">
        <v>137</v>
      </c>
      <c r="B11" s="40">
        <f>'OECD Asia Oceania 1995'!$L27/B$5*0.041872*-1</f>
        <v>1.9713245836550125E-2</v>
      </c>
      <c r="C11" s="40">
        <f>'OECD Asia Oceania 2000'!$L27/C$5*0.041872*-1</f>
        <v>2.041625533706545E-2</v>
      </c>
      <c r="D11" s="40">
        <f>'OECD Asia Oceania 2005'!$L27/D$5*0.041872*-1</f>
        <v>1.7562890645177954E-2</v>
      </c>
      <c r="E11" s="40">
        <f>'OECD Asia Oceania 2010'!$L27/E$5*0.041872*-1</f>
        <v>1.6902414947928126E-2</v>
      </c>
      <c r="F11" s="40">
        <f>'OECD Asia Oceania 2015'!$L27/F$5*0.041872*-1</f>
        <v>1.6777221449416544E-2</v>
      </c>
      <c r="G11" s="40">
        <f>'OECD Asia Oceania 2018'!$L27/G$5*0.041872*-1</f>
        <v>1.741395632795081E-2</v>
      </c>
      <c r="H11" s="88">
        <f t="shared" si="0"/>
        <v>1.741395632795081E-2</v>
      </c>
      <c r="I11" s="88">
        <f t="shared" si="0"/>
        <v>1.741395632795081E-2</v>
      </c>
    </row>
    <row r="12" spans="1:11" x14ac:dyDescent="0.35">
      <c r="A12" s="30" t="s">
        <v>138</v>
      </c>
      <c r="B12" s="40">
        <f>'OECD Asia Oceania 1995'!$L28/B$5*0.041872*-1</f>
        <v>4.9520238226535788E-3</v>
      </c>
      <c r="C12" s="40">
        <f>'OECD Asia Oceania 2000'!$L28/C$5*0.041872*-1</f>
        <v>4.3779776686349173E-3</v>
      </c>
      <c r="D12" s="40">
        <f>'OECD Asia Oceania 2005'!$L28/D$5*0.041872*-1</f>
        <v>6.6874083610485285E-3</v>
      </c>
      <c r="E12" s="40">
        <f>'OECD Asia Oceania 2010'!$L28/E$5*0.041872*-1</f>
        <v>5.8662866163476804E-3</v>
      </c>
      <c r="F12" s="40">
        <f>'OECD Asia Oceania 2015'!$L28/F$5*0.041872*-1</f>
        <v>5.4878375979823578E-3</v>
      </c>
      <c r="G12" s="40">
        <f>'OECD Asia Oceania 2018'!$L28/G$5*0.041872*-1</f>
        <v>4.9067632481576426E-3</v>
      </c>
      <c r="H12" s="88">
        <f t="shared" si="0"/>
        <v>4.9067632481576426E-3</v>
      </c>
      <c r="I12" s="88">
        <f t="shared" si="0"/>
        <v>4.9067632481576426E-3</v>
      </c>
    </row>
    <row r="13" spans="1:11" x14ac:dyDescent="0.35">
      <c r="A13" s="30" t="s">
        <v>139</v>
      </c>
      <c r="B13" s="40">
        <f>'OECD Asia Oceania 1995'!$L29/B$5*0.041872*-1</f>
        <v>8.6820337487592356E-3</v>
      </c>
      <c r="C13" s="40">
        <f>'OECD Asia Oceania 2000'!$L29/C$5*0.041872*-1</f>
        <v>5.8843126554621508E-3</v>
      </c>
      <c r="D13" s="40">
        <f>'OECD Asia Oceania 2005'!$L29/D$5*0.041872*-1</f>
        <v>5.8966809315484352E-3</v>
      </c>
      <c r="E13" s="40">
        <f>'OECD Asia Oceania 2010'!$L29/E$5*0.041872*-1</f>
        <v>5.6523064438312133E-3</v>
      </c>
      <c r="F13" s="40">
        <f>'OECD Asia Oceania 2015'!$L29/F$5*0.041872*-1</f>
        <v>5.6467557984504453E-3</v>
      </c>
      <c r="G13" s="40">
        <f>'OECD Asia Oceania 2018'!$L29/G$5*0.041872*-1</f>
        <v>5.4677719087288402E-3</v>
      </c>
      <c r="H13" s="88">
        <f t="shared" si="0"/>
        <v>5.4677719087288402E-3</v>
      </c>
      <c r="I13" s="88">
        <f t="shared" si="0"/>
        <v>5.4677719087288402E-3</v>
      </c>
    </row>
    <row r="14" spans="1:11" x14ac:dyDescent="0.35">
      <c r="A14" s="31" t="s">
        <v>140</v>
      </c>
      <c r="B14" s="81"/>
      <c r="C14" s="81"/>
      <c r="D14" s="81"/>
      <c r="E14" s="81"/>
      <c r="F14" s="81"/>
      <c r="G14" s="81"/>
      <c r="H14" s="42">
        <f t="shared" si="0"/>
        <v>0</v>
      </c>
      <c r="I14" s="42">
        <f t="shared" si="0"/>
        <v>0</v>
      </c>
    </row>
    <row r="15" spans="1:11" x14ac:dyDescent="0.35">
      <c r="A15" s="30" t="s">
        <v>141</v>
      </c>
      <c r="B15" s="40">
        <f>'OECD Asia Oceania 1995'!$B23/'OECD Asia Oceania 1995'!$L23</f>
        <v>0.20800350198810783</v>
      </c>
      <c r="C15" s="40">
        <f>'OECD Asia Oceania 2000'!$B23/'OECD Asia Oceania 2000'!$L23</f>
        <v>0.19301158908563337</v>
      </c>
      <c r="D15" s="40">
        <f>'OECD Asia Oceania 2005'!$B23/'OECD Asia Oceania 2005'!$L23</f>
        <v>0.19272178135733745</v>
      </c>
      <c r="E15" s="40">
        <f>'OECD Asia Oceania 2010'!$B23/'OECD Asia Oceania 2010'!$L23</f>
        <v>0.19823844547353128</v>
      </c>
      <c r="F15" s="40">
        <f>'OECD Asia Oceania 2015'!$B23/'OECD Asia Oceania 2015'!$L23</f>
        <v>0.20336786769266671</v>
      </c>
      <c r="G15" s="40">
        <f>'OECD Asia Oceania 2018'!$B23/'OECD Asia Oceania 2018'!$L23</f>
        <v>0.19977543563625536</v>
      </c>
      <c r="H15" s="77">
        <f t="shared" si="0"/>
        <v>0.19977543563625536</v>
      </c>
      <c r="I15" s="77">
        <f t="shared" si="0"/>
        <v>0.19977543563625536</v>
      </c>
    </row>
    <row r="16" spans="1:11" x14ac:dyDescent="0.35">
      <c r="A16" s="30" t="s">
        <v>142</v>
      </c>
      <c r="B16" s="40">
        <f>'OECD Asia Oceania 1995'!$C23/'OECD Asia Oceania 1995'!$L23</f>
        <v>2.3711377813446176E-4</v>
      </c>
      <c r="C16" s="40">
        <f>'OECD Asia Oceania 2000'!$C23/'OECD Asia Oceania 2000'!$L23</f>
        <v>1.4566472641251087E-4</v>
      </c>
      <c r="D16" s="40">
        <f>'OECD Asia Oceania 2005'!$C23/'OECD Asia Oceania 2005'!$L23</f>
        <v>2.5464882150894231E-4</v>
      </c>
      <c r="E16" s="40">
        <f>'OECD Asia Oceania 2010'!$C23/'OECD Asia Oceania 2010'!$L23</f>
        <v>2.4819153122067859E-4</v>
      </c>
      <c r="F16" s="40">
        <f>'OECD Asia Oceania 2015'!$C23/'OECD Asia Oceania 2015'!$L23</f>
        <v>2.4565045168976803E-4</v>
      </c>
      <c r="G16" s="40">
        <f>'OECD Asia Oceania 2018'!$C23/'OECD Asia Oceania 2018'!$L23</f>
        <v>2.3573054757724827E-4</v>
      </c>
      <c r="H16" s="77">
        <f t="shared" si="0"/>
        <v>2.3573054757724827E-4</v>
      </c>
      <c r="I16" s="77">
        <f t="shared" si="0"/>
        <v>2.3573054757724827E-4</v>
      </c>
    </row>
    <row r="17" spans="1:9" x14ac:dyDescent="0.35">
      <c r="A17" s="30" t="s">
        <v>143</v>
      </c>
      <c r="B17" s="40">
        <f>'OECD Asia Oceania 1995'!$D23/'OECD Asia Oceania 1995'!$L23</f>
        <v>0.36167146974063402</v>
      </c>
      <c r="C17" s="40">
        <f>'OECD Asia Oceania 2000'!$D23/'OECD Asia Oceania 2000'!$L23</f>
        <v>0.30887913906320102</v>
      </c>
      <c r="D17" s="40">
        <f>'OECD Asia Oceania 2005'!$D23/'OECD Asia Oceania 2005'!$L23</f>
        <v>0.25892455288404598</v>
      </c>
      <c r="E17" s="40">
        <f>'OECD Asia Oceania 2010'!$D23/'OECD Asia Oceania 2010'!$L23</f>
        <v>0.20340809346529859</v>
      </c>
      <c r="F17" s="40">
        <f>'OECD Asia Oceania 2015'!$D23/'OECD Asia Oceania 2015'!$L23</f>
        <v>0.17496453421603728</v>
      </c>
      <c r="G17" s="40">
        <f>'OECD Asia Oceania 2018'!$D23/'OECD Asia Oceania 2018'!$L23</f>
        <v>0.15820001116618385</v>
      </c>
      <c r="H17" s="77">
        <f t="shared" si="0"/>
        <v>0.15820001116618385</v>
      </c>
      <c r="I17" s="77">
        <f t="shared" si="0"/>
        <v>0.15820001116618385</v>
      </c>
    </row>
    <row r="18" spans="1:9" x14ac:dyDescent="0.35">
      <c r="A18" s="30" t="s">
        <v>241</v>
      </c>
      <c r="B18" s="40">
        <f>'OECD Asia Oceania 1995'!$E23/'OECD Asia Oceania 1995'!$L23</f>
        <v>8.8783910310193462E-2</v>
      </c>
      <c r="C18" s="40">
        <f>'OECD Asia Oceania 2000'!$E23/'OECD Asia Oceania 2000'!$L23</f>
        <v>0.10856100730071609</v>
      </c>
      <c r="D18" s="40">
        <f>'OECD Asia Oceania 2005'!$E23/'OECD Asia Oceania 2005'!$L23</f>
        <v>0.13493426507165698</v>
      </c>
      <c r="E18" s="40">
        <f>'OECD Asia Oceania 2010'!$E23/'OECD Asia Oceania 2010'!$L23</f>
        <v>0.15758951542116892</v>
      </c>
      <c r="F18" s="40">
        <f>'OECD Asia Oceania 2015'!$E23/'OECD Asia Oceania 2015'!$L23</f>
        <v>0.16915490103357428</v>
      </c>
      <c r="G18" s="40">
        <f>'OECD Asia Oceania 2018'!$E23/'OECD Asia Oceania 2018'!$L23</f>
        <v>0.1708302057679543</v>
      </c>
      <c r="H18" s="77">
        <f t="shared" si="0"/>
        <v>0.1708302057679543</v>
      </c>
      <c r="I18" s="77">
        <f t="shared" si="0"/>
        <v>0.1708302057679543</v>
      </c>
    </row>
    <row r="19" spans="1:9" x14ac:dyDescent="0.35">
      <c r="A19" s="30" t="s">
        <v>145</v>
      </c>
      <c r="B19" s="40">
        <f>'OECD Asia Oceania 1995'!$H23/'OECD Asia Oceania 1995'!$L23</f>
        <v>7.3566069626333005E-4</v>
      </c>
      <c r="C19" s="40">
        <f>'OECD Asia Oceania 2000'!$H23/'OECD Asia Oceania 2000'!$L23</f>
        <v>7.51629988288556E-4</v>
      </c>
      <c r="D19" s="40">
        <f>'OECD Asia Oceania 2005'!$H23/'OECD Asia Oceania 2005'!$L23</f>
        <v>8.1132298945872324E-4</v>
      </c>
      <c r="E19" s="40">
        <f>'OECD Asia Oceania 2010'!$H23/'OECD Asia Oceania 2010'!$L23</f>
        <v>8.4142982535791036E-4</v>
      </c>
      <c r="F19" s="40">
        <f>'OECD Asia Oceania 2015'!$H23/'OECD Asia Oceania 2015'!$L23</f>
        <v>7.4309261636154838E-4</v>
      </c>
      <c r="G19" s="40">
        <f>'OECD Asia Oceania 2018'!$H23/'OECD Asia Oceania 2018'!$L23</f>
        <v>7.1959851365686314E-4</v>
      </c>
      <c r="H19" s="77">
        <f t="shared" si="0"/>
        <v>7.1959851365686314E-4</v>
      </c>
      <c r="I19" s="77">
        <f t="shared" si="0"/>
        <v>7.1959851365686314E-4</v>
      </c>
    </row>
    <row r="20" spans="1:9" x14ac:dyDescent="0.35">
      <c r="A20" s="30" t="s">
        <v>146</v>
      </c>
      <c r="B20" s="40">
        <f>'OECD Asia Oceania 1995'!$I23/'OECD Asia Oceania 1995'!$L23</f>
        <v>3.2533226328141152E-2</v>
      </c>
      <c r="C20" s="40">
        <f>'OECD Asia Oceania 2000'!$I23/'OECD Asia Oceania 2000'!$L23</f>
        <v>4.0471487586452012E-2</v>
      </c>
      <c r="D20" s="40">
        <f>'OECD Asia Oceania 2005'!$I23/'OECD Asia Oceania 2005'!$L23</f>
        <v>4.2911287457065024E-2</v>
      </c>
      <c r="E20" s="40">
        <f>'OECD Asia Oceania 2010'!$I23/'OECD Asia Oceania 2010'!$L23</f>
        <v>5.2743727110384699E-2</v>
      </c>
      <c r="F20" s="40">
        <f>'OECD Asia Oceania 2015'!$I23/'OECD Asia Oceania 2015'!$L23</f>
        <v>6.0528271296358849E-2</v>
      </c>
      <c r="G20" s="40">
        <f>'OECD Asia Oceania 2018'!$I23/'OECD Asia Oceania 2018'!$L23</f>
        <v>6.2878021848499693E-2</v>
      </c>
      <c r="H20" s="77">
        <f t="shared" si="0"/>
        <v>6.2878021848499693E-2</v>
      </c>
      <c r="I20" s="77">
        <f t="shared" si="0"/>
        <v>6.2878021848499693E-2</v>
      </c>
    </row>
    <row r="21" spans="1:9" x14ac:dyDescent="0.35">
      <c r="A21" s="30" t="s">
        <v>147</v>
      </c>
      <c r="B21" s="40">
        <f>'OECD Asia Oceania 1995'!$J23/'OECD Asia Oceania 1995'!$L23</f>
        <v>0.30803511715852577</v>
      </c>
      <c r="C21" s="40">
        <f>'OECD Asia Oceania 2000'!$J23/'OECD Asia Oceania 2000'!$L23</f>
        <v>0.33579215391517653</v>
      </c>
      <c r="D21" s="40">
        <f>'OECD Asia Oceania 2005'!$J23/'OECD Asia Oceania 2005'!$L23</f>
        <v>0.3525938647400213</v>
      </c>
      <c r="E21" s="40">
        <f>'OECD Asia Oceania 2010'!$J23/'OECD Asia Oceania 2010'!$L23</f>
        <v>0.37278367989345923</v>
      </c>
      <c r="F21" s="40">
        <f>'OECD Asia Oceania 2015'!$J23/'OECD Asia Oceania 2015'!$L23</f>
        <v>0.37520649991095173</v>
      </c>
      <c r="G21" s="40">
        <f>'OECD Asia Oceania 2018'!$J23/'OECD Asia Oceania 2018'!$L23</f>
        <v>0.38773953015179807</v>
      </c>
      <c r="H21" s="89">
        <f>1-H15-H16-H17-H18-H19-H20-H22</f>
        <v>0.38774573358726072</v>
      </c>
      <c r="I21" s="89">
        <f>1-I15-I16-I17-I18-I19-I20-I22</f>
        <v>0.38774573358726072</v>
      </c>
    </row>
    <row r="22" spans="1:9" x14ac:dyDescent="0.35">
      <c r="A22" s="30" t="s">
        <v>148</v>
      </c>
      <c r="B22" s="40">
        <f>'OECD Asia Oceania 1995'!$K23/'OECD Asia Oceania 1995'!$L23</f>
        <v>0</v>
      </c>
      <c r="C22" s="40">
        <f>'OECD Asia Oceania 2000'!$K23/'OECD Asia Oceania 2000'!$L23</f>
        <v>1.2381501745063422E-2</v>
      </c>
      <c r="D22" s="40">
        <f>'OECD Asia Oceania 2005'!$K23/'OECD Asia Oceania 2005'!$L23</f>
        <v>1.6848276678905601E-2</v>
      </c>
      <c r="E22" s="40">
        <f>'OECD Asia Oceania 2010'!$K23/'OECD Asia Oceania 2010'!$L23</f>
        <v>1.4152970731559671E-2</v>
      </c>
      <c r="F22" s="40">
        <f>'OECD Asia Oceania 2015'!$K23/'OECD Asia Oceania 2015'!$L23</f>
        <v>1.5789182782359842E-2</v>
      </c>
      <c r="G22" s="40">
        <f>'OECD Asia Oceania 2018'!$K23/'OECD Asia Oceania 2018'!$L23</f>
        <v>1.9615262932612079E-2</v>
      </c>
      <c r="H22" s="77">
        <f t="shared" si="0"/>
        <v>1.9615262932612079E-2</v>
      </c>
      <c r="I22" s="77">
        <f t="shared" si="0"/>
        <v>1.9615262932612079E-2</v>
      </c>
    </row>
    <row r="23" spans="1:9" x14ac:dyDescent="0.35">
      <c r="A23" s="31" t="s">
        <v>149</v>
      </c>
      <c r="B23" s="81"/>
      <c r="C23" s="81"/>
      <c r="D23" s="81"/>
      <c r="E23" s="81"/>
      <c r="F23" s="81"/>
      <c r="G23" s="81"/>
      <c r="H23" s="42">
        <f t="shared" si="0"/>
        <v>0</v>
      </c>
      <c r="I23" s="42">
        <f t="shared" si="0"/>
        <v>0</v>
      </c>
    </row>
    <row r="24" spans="1:9" x14ac:dyDescent="0.35">
      <c r="A24" s="30" t="s">
        <v>141</v>
      </c>
      <c r="B24" s="40">
        <f>'OECD Asia Oceania 1995'!$B24/'OECD Asia Oceania 1995'!$L24</f>
        <v>6.4118548071100351E-4</v>
      </c>
      <c r="C24" s="40">
        <f>'OECD Asia Oceania 2000'!$B24/'OECD Asia Oceania 2000'!$L24</f>
        <v>6.0898079368266079E-4</v>
      </c>
      <c r="D24" s="40">
        <f>'OECD Asia Oceania 2005'!$B24/'OECD Asia Oceania 2005'!$L24</f>
        <v>1.2093567405206806E-3</v>
      </c>
      <c r="E24" s="40">
        <f>'OECD Asia Oceania 2010'!$B24/'OECD Asia Oceania 2010'!$L24</f>
        <v>6.3918829814433545E-4</v>
      </c>
      <c r="F24" s="40">
        <f>'OECD Asia Oceania 2015'!$B24/'OECD Asia Oceania 2015'!$L24</f>
        <v>1.3376405358587986E-5</v>
      </c>
      <c r="G24" s="40">
        <f>'OECD Asia Oceania 2018'!$B24/'OECD Asia Oceania 2018'!$L24</f>
        <v>6.6196232110468271E-6</v>
      </c>
      <c r="H24" s="77">
        <f t="shared" si="0"/>
        <v>6.6196232110468271E-6</v>
      </c>
      <c r="I24" s="77">
        <f t="shared" si="0"/>
        <v>6.6196232110468271E-6</v>
      </c>
    </row>
    <row r="25" spans="1:9" x14ac:dyDescent="0.35">
      <c r="A25" s="30" t="s">
        <v>143</v>
      </c>
      <c r="B25" s="40">
        <f>'OECD Asia Oceania 1995'!$D24/'OECD Asia Oceania 1995'!$L24</f>
        <v>0.98404873009653404</v>
      </c>
      <c r="C25" s="40">
        <f>'OECD Asia Oceania 2000'!$D24/'OECD Asia Oceania 2000'!$L24</f>
        <v>0.98394566017533291</v>
      </c>
      <c r="D25" s="40">
        <f>'OECD Asia Oceania 2005'!$D24/'OECD Asia Oceania 2005'!$L24</f>
        <v>0.97936863691035647</v>
      </c>
      <c r="E25" s="40">
        <f>'OECD Asia Oceania 2010'!$D24/'OECD Asia Oceania 2010'!$L24</f>
        <v>0.97107504743450002</v>
      </c>
      <c r="F25" s="40">
        <f>'OECD Asia Oceania 2015'!$D24/'OECD Asia Oceania 2015'!$L24</f>
        <v>0.96814409063852269</v>
      </c>
      <c r="G25" s="40">
        <f>'OECD Asia Oceania 2018'!$D24/'OECD Asia Oceania 2018'!$L24</f>
        <v>0.96598175631843031</v>
      </c>
      <c r="H25" s="89">
        <f>1-H24-H26-H27-H28-H29-H30</f>
        <v>0.96598175631843042</v>
      </c>
      <c r="I25" s="89">
        <f>1-I24-I26-I27-I28-I29-I30</f>
        <v>0.96598175631843042</v>
      </c>
    </row>
    <row r="26" spans="1:9" x14ac:dyDescent="0.35">
      <c r="A26" s="30" t="s">
        <v>241</v>
      </c>
      <c r="B26" s="40">
        <f>'OECD Asia Oceania 1995'!$E24/'OECD Asia Oceania 1995'!$L24</f>
        <v>1.5815908524204753E-3</v>
      </c>
      <c r="C26" s="40">
        <f>'OECD Asia Oceania 2000'!$E24/'OECD Asia Oceania 2000'!$L24</f>
        <v>2.2016997925450046E-3</v>
      </c>
      <c r="D26" s="40">
        <f>'OECD Asia Oceania 2005'!$E24/'OECD Asia Oceania 2005'!$L24</f>
        <v>5.0871854193641677E-3</v>
      </c>
      <c r="E26" s="40">
        <f>'OECD Asia Oceania 2010'!$E24/'OECD Asia Oceania 2010'!$L24</f>
        <v>9.5810961742898281E-3</v>
      </c>
      <c r="F26" s="40">
        <f>'OECD Asia Oceania 2015'!$E24/'OECD Asia Oceania 2015'!$L24</f>
        <v>1.0373402355584984E-2</v>
      </c>
      <c r="G26" s="40">
        <f>'OECD Asia Oceania 2018'!$E24/'OECD Asia Oceania 2018'!$L24</f>
        <v>1.1061390385659248E-2</v>
      </c>
      <c r="H26" s="90">
        <f t="shared" si="0"/>
        <v>1.1061390385659248E-2</v>
      </c>
      <c r="I26" s="90">
        <f t="shared" si="0"/>
        <v>1.1061390385659248E-2</v>
      </c>
    </row>
    <row r="27" spans="1:9" x14ac:dyDescent="0.35">
      <c r="A27" s="30" t="s">
        <v>145</v>
      </c>
      <c r="B27" s="40">
        <f>'OECD Asia Oceania 1995'!$H24/'OECD Asia Oceania 1995'!$L24</f>
        <v>0</v>
      </c>
      <c r="C27" s="40">
        <f>'OECD Asia Oceania 2000'!$H24/'OECD Asia Oceania 2000'!$L24</f>
        <v>0</v>
      </c>
      <c r="D27" s="40">
        <f>'OECD Asia Oceania 2005'!$H24/'OECD Asia Oceania 2005'!$L24</f>
        <v>0</v>
      </c>
      <c r="E27" s="40">
        <f>'OECD Asia Oceania 2010'!$H24/'OECD Asia Oceania 2010'!$L24</f>
        <v>0</v>
      </c>
      <c r="F27" s="40">
        <f>'OECD Asia Oceania 2015'!$H24/'OECD Asia Oceania 2015'!$L24</f>
        <v>0</v>
      </c>
      <c r="G27" s="40">
        <f>'OECD Asia Oceania 2018'!$H24/'OECD Asia Oceania 2018'!$L24</f>
        <v>0</v>
      </c>
      <c r="H27" s="77">
        <f t="shared" si="0"/>
        <v>0</v>
      </c>
      <c r="I27" s="77">
        <f t="shared" si="0"/>
        <v>0</v>
      </c>
    </row>
    <row r="28" spans="1:9" x14ac:dyDescent="0.35">
      <c r="A28" s="30" t="s">
        <v>146</v>
      </c>
      <c r="B28" s="40">
        <f>'OECD Asia Oceania 1995'!$I24/'OECD Asia Oceania 1995'!$L24</f>
        <v>0</v>
      </c>
      <c r="C28" s="40">
        <f>'OECD Asia Oceania 2000'!$I24/'OECD Asia Oceania 2000'!$L24</f>
        <v>0</v>
      </c>
      <c r="D28" s="40">
        <f>'OECD Asia Oceania 2005'!$I24/'OECD Asia Oceania 2005'!$L24</f>
        <v>1.9717772943271967E-4</v>
      </c>
      <c r="E28" s="40">
        <f>'OECD Asia Oceania 2010'!$I24/'OECD Asia Oceania 2010'!$L24</f>
        <v>4.7299934062680826E-3</v>
      </c>
      <c r="F28" s="40">
        <f>'OECD Asia Oceania 2015'!$I24/'OECD Asia Oceania 2015'!$L24</f>
        <v>6.7684611114455211E-3</v>
      </c>
      <c r="G28" s="40">
        <f>'OECD Asia Oceania 2018'!$I24/'OECD Asia Oceania 2018'!$L24</f>
        <v>7.8972104907788655E-3</v>
      </c>
      <c r="H28" s="77">
        <f t="shared" si="0"/>
        <v>7.8972104907788655E-3</v>
      </c>
      <c r="I28" s="77">
        <f t="shared" si="0"/>
        <v>7.8972104907788655E-3</v>
      </c>
    </row>
    <row r="29" spans="1:9" x14ac:dyDescent="0.35">
      <c r="A29" s="30" t="s">
        <v>147</v>
      </c>
      <c r="B29" s="40">
        <f>'OECD Asia Oceania 1995'!$J24/'OECD Asia Oceania 1995'!$L24</f>
        <v>1.3728493570334486E-2</v>
      </c>
      <c r="C29" s="40">
        <f>'OECD Asia Oceania 2000'!$J24/'OECD Asia Oceania 2000'!$L24</f>
        <v>1.3243659238439403E-2</v>
      </c>
      <c r="D29" s="40">
        <f>'OECD Asia Oceania 2005'!$J24/'OECD Asia Oceania 2005'!$L24</f>
        <v>1.4144215791307091E-2</v>
      </c>
      <c r="E29" s="40">
        <f>'OECD Asia Oceania 2010'!$J24/'OECD Asia Oceania 2010'!$L24</f>
        <v>1.3981402984672937E-2</v>
      </c>
      <c r="F29" s="40">
        <f>'OECD Asia Oceania 2015'!$J24/'OECD Asia Oceania 2015'!$L24</f>
        <v>1.4707357691767491E-2</v>
      </c>
      <c r="G29" s="40">
        <f>'OECD Asia Oceania 2018'!$J24/'OECD Asia Oceania 2018'!$L24</f>
        <v>1.5053023181920484E-2</v>
      </c>
      <c r="H29" s="77">
        <f t="shared" si="0"/>
        <v>1.5053023181920484E-2</v>
      </c>
      <c r="I29" s="77">
        <f t="shared" si="0"/>
        <v>1.5053023181920484E-2</v>
      </c>
    </row>
    <row r="30" spans="1:9" x14ac:dyDescent="0.35">
      <c r="A30" s="30" t="s">
        <v>148</v>
      </c>
      <c r="B30" s="40">
        <f>'OECD Asia Oceania 1995'!$K24/'OECD Asia Oceania 1995'!$L24</f>
        <v>0</v>
      </c>
      <c r="C30" s="40">
        <f>'OECD Asia Oceania 2000'!$K24/'OECD Asia Oceania 2000'!$L24</f>
        <v>0</v>
      </c>
      <c r="D30" s="40">
        <f>'OECD Asia Oceania 2005'!$K24/'OECD Asia Oceania 2005'!$L24</f>
        <v>0</v>
      </c>
      <c r="E30" s="40">
        <f>'OECD Asia Oceania 2010'!$K24/'OECD Asia Oceania 2010'!$L24</f>
        <v>0</v>
      </c>
      <c r="F30" s="40">
        <f>'OECD Asia Oceania 2015'!$K24/'OECD Asia Oceania 2015'!$L24</f>
        <v>0</v>
      </c>
      <c r="G30" s="40">
        <f>'OECD Asia Oceania 2018'!$K24/'OECD Asia Oceania 2018'!$L24</f>
        <v>0</v>
      </c>
      <c r="H30" s="77">
        <f t="shared" si="0"/>
        <v>0</v>
      </c>
      <c r="I30" s="77">
        <f t="shared" si="0"/>
        <v>0</v>
      </c>
    </row>
    <row r="31" spans="1:9" x14ac:dyDescent="0.35">
      <c r="A31" s="31" t="s">
        <v>150</v>
      </c>
      <c r="B31" s="81"/>
      <c r="C31" s="81"/>
      <c r="D31" s="81"/>
      <c r="E31" s="81"/>
      <c r="F31" s="81"/>
      <c r="G31" s="81"/>
      <c r="H31" s="42">
        <f t="shared" si="0"/>
        <v>0</v>
      </c>
      <c r="I31" s="42">
        <f t="shared" si="0"/>
        <v>0</v>
      </c>
    </row>
    <row r="32" spans="1:9" x14ac:dyDescent="0.35">
      <c r="A32" s="30" t="s">
        <v>141</v>
      </c>
      <c r="B32" s="40">
        <f>'OECD Asia Oceania 1995'!$B$25/'OECD Asia Oceania 1995'!$L$25</f>
        <v>2.2238358899882002E-2</v>
      </c>
      <c r="C32" s="40">
        <f>'OECD Asia Oceania 2000'!$B$25/'OECD Asia Oceania 2000'!$L$25</f>
        <v>7.9474865584381691E-3</v>
      </c>
      <c r="D32" s="40">
        <f>'OECD Asia Oceania 2005'!$B$25/'OECD Asia Oceania 2005'!$L$25</f>
        <v>1.2097019557253952E-2</v>
      </c>
      <c r="E32" s="40">
        <f>'OECD Asia Oceania 2010'!$B$25/'OECD Asia Oceania 2010'!$L$25</f>
        <v>1.0246456090818187E-2</v>
      </c>
      <c r="F32" s="40">
        <f>'OECD Asia Oceania 2015'!$B$25/'OECD Asia Oceania 2015'!$L$25</f>
        <v>8.6218073382600801E-3</v>
      </c>
      <c r="G32" s="40">
        <f>'OECD Asia Oceania 2018'!$B$25/'OECD Asia Oceania 2018'!$L$25</f>
        <v>5.9772709781688513E-3</v>
      </c>
      <c r="H32" s="77">
        <f t="shared" si="0"/>
        <v>5.9772709781688513E-3</v>
      </c>
      <c r="I32" s="77">
        <f t="shared" si="0"/>
        <v>5.9772709781688513E-3</v>
      </c>
    </row>
    <row r="33" spans="1:9" x14ac:dyDescent="0.35">
      <c r="A33" s="30" t="s">
        <v>143</v>
      </c>
      <c r="B33" s="40">
        <f>'OECD Asia Oceania 1995'!$D$25/'OECD Asia Oceania 1995'!$L$25</f>
        <v>0.29521043236210703</v>
      </c>
      <c r="C33" s="40">
        <f>'OECD Asia Oceania 2000'!$D$25/'OECD Asia Oceania 2000'!$L$25</f>
        <v>0.29356110038106176</v>
      </c>
      <c r="D33" s="40">
        <f>'OECD Asia Oceania 2005'!$D$25/'OECD Asia Oceania 2005'!$L$25</f>
        <v>0.25348975891151165</v>
      </c>
      <c r="E33" s="40">
        <f>'OECD Asia Oceania 2010'!$D$25/'OECD Asia Oceania 2010'!$L$25</f>
        <v>0.22330451149932357</v>
      </c>
      <c r="F33" s="40">
        <f>'OECD Asia Oceania 2015'!$D$25/'OECD Asia Oceania 2015'!$L$25</f>
        <v>0.20396732788798133</v>
      </c>
      <c r="G33" s="40">
        <f>'OECD Asia Oceania 2018'!$D$25/'OECD Asia Oceania 2018'!$L$25</f>
        <v>0.19209358405376978</v>
      </c>
      <c r="H33" s="77">
        <f t="shared" si="0"/>
        <v>0.19209358405376978</v>
      </c>
      <c r="I33" s="77">
        <f t="shared" si="0"/>
        <v>0.19209358405376978</v>
      </c>
    </row>
    <row r="34" spans="1:9" x14ac:dyDescent="0.35">
      <c r="A34" s="30" t="s">
        <v>241</v>
      </c>
      <c r="B34" s="40">
        <f>'OECD Asia Oceania 1995'!$E$25/'OECD Asia Oceania 1995'!$L$25</f>
        <v>0.20593930592115217</v>
      </c>
      <c r="C34" s="40">
        <f>'OECD Asia Oceania 2000'!$E$25/'OECD Asia Oceania 2000'!$L$25</f>
        <v>0.23409197682309338</v>
      </c>
      <c r="D34" s="40">
        <f>'OECD Asia Oceania 2005'!$E$25/'OECD Asia Oceania 2005'!$L$25</f>
        <v>0.2512991517482262</v>
      </c>
      <c r="E34" s="40">
        <f>'OECD Asia Oceania 2010'!$E$25/'OECD Asia Oceania 2010'!$L$25</f>
        <v>0.25112640432915712</v>
      </c>
      <c r="F34" s="40">
        <f>'OECD Asia Oceania 2015'!$E$25/'OECD Asia Oceania 2015'!$L$25</f>
        <v>0.26463114222740824</v>
      </c>
      <c r="G34" s="40">
        <f>'OECD Asia Oceania 2018'!$E$25/'OECD Asia Oceania 2018'!$L$25</f>
        <v>0.28031605140966109</v>
      </c>
      <c r="H34" s="77">
        <f t="shared" si="0"/>
        <v>0.28031605140966109</v>
      </c>
      <c r="I34" s="77">
        <f t="shared" si="0"/>
        <v>0.28031605140966109</v>
      </c>
    </row>
    <row r="35" spans="1:9" x14ac:dyDescent="0.35">
      <c r="A35" s="30" t="s">
        <v>145</v>
      </c>
      <c r="B35" s="40">
        <f>'OECD Asia Oceania 1995'!$H$25/'OECD Asia Oceania 1995'!$L$25</f>
        <v>2.3267072100692867E-2</v>
      </c>
      <c r="C35" s="40">
        <f>'OECD Asia Oceania 2000'!$H$25/'OECD Asia Oceania 2000'!$L$25</f>
        <v>1.9718640705747248E-2</v>
      </c>
      <c r="D35" s="40">
        <f>'OECD Asia Oceania 2005'!$H$25/'OECD Asia Oceania 2005'!$L$25</f>
        <v>1.735447674913897E-2</v>
      </c>
      <c r="E35" s="40">
        <f>'OECD Asia Oceania 2010'!$H$25/'OECD Asia Oceania 2010'!$L$25</f>
        <v>2.1728133639197695E-2</v>
      </c>
      <c r="F35" s="40">
        <f>'OECD Asia Oceania 2015'!$H$25/'OECD Asia Oceania 2015'!$L$25</f>
        <v>1.4002333722287048E-2</v>
      </c>
      <c r="G35" s="40">
        <f>'OECD Asia Oceania 2018'!$H$25/'OECD Asia Oceania 2018'!$L$25</f>
        <v>1.4109437931299864E-2</v>
      </c>
      <c r="H35" s="77">
        <f t="shared" si="0"/>
        <v>1.4109437931299864E-2</v>
      </c>
      <c r="I35" s="77">
        <f t="shared" si="0"/>
        <v>1.4109437931299864E-2</v>
      </c>
    </row>
    <row r="36" spans="1:9" x14ac:dyDescent="0.35">
      <c r="A36" s="30" t="s">
        <v>146</v>
      </c>
      <c r="B36" s="40">
        <f>'OECD Asia Oceania 1995'!$I$25/'OECD Asia Oceania 1995'!$L$25</f>
        <v>3.313061632023237E-2</v>
      </c>
      <c r="C36" s="40">
        <f>'OECD Asia Oceania 2000'!$I$25/'OECD Asia Oceania 2000'!$L$25</f>
        <v>2.7640027144124862E-2</v>
      </c>
      <c r="D36" s="40">
        <f>'OECD Asia Oceania 2005'!$I$25/'OECD Asia Oceania 2005'!$L$25</f>
        <v>2.0287456339982232E-2</v>
      </c>
      <c r="E36" s="40">
        <f>'OECD Asia Oceania 2010'!$I$25/'OECD Asia Oceania 2010'!$L$25</f>
        <v>1.806952532203988E-2</v>
      </c>
      <c r="F36" s="40">
        <f>'OECD Asia Oceania 2015'!$I$25/'OECD Asia Oceania 2015'!$L$25</f>
        <v>1.9032801763256838E-2</v>
      </c>
      <c r="G36" s="40">
        <f>'OECD Asia Oceania 2018'!$I$25/'OECD Asia Oceania 2018'!$L$25</f>
        <v>1.9086221492521999E-2</v>
      </c>
      <c r="H36" s="77">
        <f t="shared" si="0"/>
        <v>1.9086221492521999E-2</v>
      </c>
      <c r="I36" s="77">
        <f t="shared" si="0"/>
        <v>1.9086221492521999E-2</v>
      </c>
    </row>
    <row r="37" spans="1:9" x14ac:dyDescent="0.35">
      <c r="A37" s="30" t="s">
        <v>147</v>
      </c>
      <c r="B37" s="40">
        <f>'OECD Asia Oceania 1995'!$J$25/'OECD Asia Oceania 1995'!$L$25</f>
        <v>0.41165168981271366</v>
      </c>
      <c r="C37" s="40">
        <f>'OECD Asia Oceania 2000'!$J$25/'OECD Asia Oceania 2000'!$L$25</f>
        <v>0.40267265229420057</v>
      </c>
      <c r="D37" s="40">
        <f>'OECD Asia Oceania 2005'!$J$25/'OECD Asia Oceania 2005'!$L$25</f>
        <v>0.42743613771617034</v>
      </c>
      <c r="E37" s="40">
        <f>'OECD Asia Oceania 2010'!$J$25/'OECD Asia Oceania 2010'!$L$25</f>
        <v>0.45446738427151345</v>
      </c>
      <c r="F37" s="40">
        <f>'OECD Asia Oceania 2015'!$J$25/'OECD Asia Oceania 2015'!$L$25</f>
        <v>0.46931155192532087</v>
      </c>
      <c r="G37" s="40">
        <f>'OECD Asia Oceania 2018'!$J$25/'OECD Asia Oceania 2018'!$L$25</f>
        <v>0.46178907672968883</v>
      </c>
      <c r="H37" s="89">
        <f>1-H38-H36-H35-H34-H33-H32</f>
        <v>0.46180190349144462</v>
      </c>
      <c r="I37" s="89">
        <f>1-I38-I36-I35-I34-I33-I32</f>
        <v>0.46180190349144462</v>
      </c>
    </row>
    <row r="38" spans="1:9" x14ac:dyDescent="0.35">
      <c r="A38" s="30" t="s">
        <v>148</v>
      </c>
      <c r="B38" s="40">
        <f>'OECD Asia Oceania 1995'!$K$25/'OECD Asia Oceania 1995'!$L$25</f>
        <v>8.5473964479138298E-3</v>
      </c>
      <c r="C38" s="40">
        <f>'OECD Asia Oceania 2000'!$K$25/'OECD Asia Oceania 2000'!$L$25</f>
        <v>1.4381166153364305E-2</v>
      </c>
      <c r="D38" s="40">
        <f>'OECD Asia Oceania 2005'!$K$25/'OECD Asia Oceania 2005'!$L$25</f>
        <v>1.8023828937920629E-2</v>
      </c>
      <c r="E38" s="40">
        <f>'OECD Asia Oceania 2010'!$K$25/'OECD Asia Oceania 2010'!$L$25</f>
        <v>2.1045820834068585E-2</v>
      </c>
      <c r="F38" s="40">
        <f>'OECD Asia Oceania 2015'!$K$25/'OECD Asia Oceania 2015'!$L$25</f>
        <v>2.0433035135485545E-2</v>
      </c>
      <c r="G38" s="40">
        <f>'OECD Asia Oceania 2018'!$K$25/'OECD Asia Oceania 2018'!$L$25</f>
        <v>2.6615530643133833E-2</v>
      </c>
      <c r="H38" s="88">
        <f t="shared" si="0"/>
        <v>2.6615530643133833E-2</v>
      </c>
      <c r="I38" s="88">
        <f t="shared" si="0"/>
        <v>2.6615530643133833E-2</v>
      </c>
    </row>
    <row r="39" spans="1:9" x14ac:dyDescent="0.35">
      <c r="A39" s="31" t="s">
        <v>151</v>
      </c>
      <c r="B39" s="81"/>
      <c r="C39" s="81"/>
      <c r="D39" s="81"/>
      <c r="E39" s="81"/>
      <c r="F39" s="81"/>
      <c r="G39" s="81"/>
      <c r="H39" s="42">
        <f t="shared" si="0"/>
        <v>0</v>
      </c>
      <c r="I39" s="42">
        <f t="shared" si="0"/>
        <v>0</v>
      </c>
    </row>
    <row r="40" spans="1:9" x14ac:dyDescent="0.35">
      <c r="A40" s="30" t="s">
        <v>141</v>
      </c>
      <c r="B40" s="40">
        <f>'OECD Asia Oceania 1995'!$B$26/'OECD Asia Oceania 1995'!$L$26</f>
        <v>2.125224783390551E-3</v>
      </c>
      <c r="C40" s="40">
        <f>'OECD Asia Oceania 2000'!$B$26/'OECD Asia Oceania 2000'!$L$26</f>
        <v>1.1753643629525152E-3</v>
      </c>
      <c r="D40" s="40">
        <f>'OECD Asia Oceania 2005'!$B$26/'OECD Asia Oceania 2005'!$L$26</f>
        <v>1.4826145790433605E-3</v>
      </c>
      <c r="E40" s="40">
        <f>'OECD Asia Oceania 2010'!$B$26/'OECD Asia Oceania 2010'!$L$26</f>
        <v>3.4194667087026642E-3</v>
      </c>
      <c r="F40" s="40">
        <f>'OECD Asia Oceania 2015'!$B$26/'OECD Asia Oceania 2015'!$L$26</f>
        <v>2.710957912685075E-3</v>
      </c>
      <c r="G40" s="40">
        <f>'OECD Asia Oceania 2018'!$B$26/'OECD Asia Oceania 2018'!$L$26</f>
        <v>2.5142040202615263E-3</v>
      </c>
      <c r="H40" s="77">
        <f t="shared" si="0"/>
        <v>2.5142040202615263E-3</v>
      </c>
      <c r="I40" s="77">
        <f t="shared" si="0"/>
        <v>2.5142040202615263E-3</v>
      </c>
    </row>
    <row r="41" spans="1:9" x14ac:dyDescent="0.35">
      <c r="A41" s="30" t="s">
        <v>143</v>
      </c>
      <c r="B41" s="40">
        <f>'OECD Asia Oceania 1995'!$D$26/'OECD Asia Oceania 1995'!$L$26</f>
        <v>0.53835064722754766</v>
      </c>
      <c r="C41" s="40">
        <f>'OECD Asia Oceania 2000'!$D$26/'OECD Asia Oceania 2000'!$L$26</f>
        <v>0.42080656114506609</v>
      </c>
      <c r="D41" s="40">
        <f>'OECD Asia Oceania 2005'!$D$26/'OECD Asia Oceania 2005'!$L$26</f>
        <v>0.3365652762252162</v>
      </c>
      <c r="E41" s="40">
        <f>'OECD Asia Oceania 2010'!$D$26/'OECD Asia Oceania 2010'!$L$26</f>
        <v>0.20761740775321635</v>
      </c>
      <c r="F41" s="40">
        <f>'OECD Asia Oceania 2015'!$D$26/'OECD Asia Oceania 2015'!$L$26</f>
        <v>0.18593981918769398</v>
      </c>
      <c r="G41" s="40">
        <f>'OECD Asia Oceania 2018'!$D$26/'OECD Asia Oceania 2018'!$L$26</f>
        <v>0.16238800083806801</v>
      </c>
      <c r="H41" s="77">
        <f t="shared" si="0"/>
        <v>0.16238800083806801</v>
      </c>
      <c r="I41" s="77">
        <f t="shared" si="0"/>
        <v>0.16238800083806801</v>
      </c>
    </row>
    <row r="42" spans="1:9" x14ac:dyDescent="0.35">
      <c r="A42" s="30" t="s">
        <v>241</v>
      </c>
      <c r="B42" s="40">
        <f>'OECD Asia Oceania 1995'!$E$26/'OECD Asia Oceania 1995'!$L$26</f>
        <v>6.9775736769361094E-2</v>
      </c>
      <c r="C42" s="40">
        <f>'OECD Asia Oceania 2000'!$E$26/'OECD Asia Oceania 2000'!$L$26</f>
        <v>0.10232199759703285</v>
      </c>
      <c r="D42" s="40">
        <f>'OECD Asia Oceania 2005'!$E$26/'OECD Asia Oceania 2005'!$L$26</f>
        <v>0.12217450138259693</v>
      </c>
      <c r="E42" s="40">
        <f>'OECD Asia Oceania 2010'!$E$26/'OECD Asia Oceania 2010'!$L$26</f>
        <v>0.16054517455043713</v>
      </c>
      <c r="F42" s="40">
        <f>'OECD Asia Oceania 2015'!$E$26/'OECD Asia Oceania 2015'!$L$26</f>
        <v>0.17166128972902689</v>
      </c>
      <c r="G42" s="40">
        <f>'OECD Asia Oceania 2018'!$E$26/'OECD Asia Oceania 2018'!$L$26</f>
        <v>0.17621612294950639</v>
      </c>
      <c r="H42" s="77">
        <f t="shared" si="0"/>
        <v>0.17621612294950639</v>
      </c>
      <c r="I42" s="77">
        <f t="shared" si="0"/>
        <v>0.17621612294950639</v>
      </c>
    </row>
    <row r="43" spans="1:9" x14ac:dyDescent="0.35">
      <c r="A43" s="30" t="s">
        <v>145</v>
      </c>
      <c r="B43" s="40">
        <f>'OECD Asia Oceania 1995'!$H$26/'OECD Asia Oceania 1995'!$L$26</f>
        <v>3.224991454515731E-3</v>
      </c>
      <c r="C43" s="40">
        <f>'OECD Asia Oceania 2000'!$H$26/'OECD Asia Oceania 2000'!$L$26</f>
        <v>2.7294572428563967E-3</v>
      </c>
      <c r="D43" s="40">
        <f>'OECD Asia Oceania 2005'!$H$26/'OECD Asia Oceania 2005'!$L$26</f>
        <v>1.8826851797376007E-3</v>
      </c>
      <c r="E43" s="40">
        <f>'OECD Asia Oceania 2010'!$H$26/'OECD Asia Oceania 2010'!$L$26</f>
        <v>2.0492548715274829E-3</v>
      </c>
      <c r="F43" s="40">
        <f>'OECD Asia Oceania 2015'!$H$26/'OECD Asia Oceania 2015'!$L$26</f>
        <v>2.9808270261650373E-3</v>
      </c>
      <c r="G43" s="40">
        <f>'OECD Asia Oceania 2018'!$H$26/'OECD Asia Oceania 2018'!$L$26</f>
        <v>3.7713060303922897E-3</v>
      </c>
      <c r="H43" s="77">
        <f t="shared" si="0"/>
        <v>3.7713060303922897E-3</v>
      </c>
      <c r="I43" s="77">
        <f t="shared" si="0"/>
        <v>3.7713060303922897E-3</v>
      </c>
    </row>
    <row r="44" spans="1:9" x14ac:dyDescent="0.35">
      <c r="A44" s="30" t="s">
        <v>146</v>
      </c>
      <c r="B44" s="40">
        <f>'OECD Asia Oceania 1995'!$I$26/'OECD Asia Oceania 1995'!$L$26</f>
        <v>2.6305229836372551E-3</v>
      </c>
      <c r="C44" s="40">
        <f>'OECD Asia Oceania 2000'!$I$26/'OECD Asia Oceania 2000'!$L$26</f>
        <v>3.5391526928903517E-3</v>
      </c>
      <c r="D44" s="40">
        <f>'OECD Asia Oceania 2005'!$I$26/'OECD Asia Oceania 2005'!$L$26</f>
        <v>1.5226216391127846E-2</v>
      </c>
      <c r="E44" s="40">
        <f>'OECD Asia Oceania 2010'!$I$26/'OECD Asia Oceania 2010'!$L$26</f>
        <v>2.1450484424450401E-2</v>
      </c>
      <c r="F44" s="40">
        <f>'OECD Asia Oceania 2015'!$I$26/'OECD Asia Oceania 2015'!$L$26</f>
        <v>3.4396045190809729E-2</v>
      </c>
      <c r="G44" s="40">
        <f>'OECD Asia Oceania 2018'!$I$26/'OECD Asia Oceania 2018'!$L$26</f>
        <v>2.7446727221188332E-2</v>
      </c>
      <c r="H44" s="77">
        <f t="shared" si="0"/>
        <v>2.7446727221188332E-2</v>
      </c>
      <c r="I44" s="77">
        <f t="shared" si="0"/>
        <v>2.7446727221188332E-2</v>
      </c>
    </row>
    <row r="45" spans="1:9" x14ac:dyDescent="0.35">
      <c r="A45" s="30" t="s">
        <v>147</v>
      </c>
      <c r="B45" s="40">
        <f>'OECD Asia Oceania 1995'!$J$26/'OECD Asia Oceania 1995'!$L$26</f>
        <v>0.3783494582906059</v>
      </c>
      <c r="C45" s="40">
        <f>'OECD Asia Oceania 2000'!$J$26/'OECD Asia Oceania 2000'!$L$26</f>
        <v>0.46152640651935434</v>
      </c>
      <c r="D45" s="40">
        <f>'OECD Asia Oceania 2005'!$J$26/'OECD Asia Oceania 2005'!$L$26</f>
        <v>0.5136200505971642</v>
      </c>
      <c r="E45" s="40">
        <f>'OECD Asia Oceania 2010'!$J$26/'OECD Asia Oceania 2010'!$L$26</f>
        <v>0.59535098036838086</v>
      </c>
      <c r="F45" s="40">
        <f>'OECD Asia Oceania 2015'!$J$26/'OECD Asia Oceania 2015'!$L$26</f>
        <v>0.59342991376455145</v>
      </c>
      <c r="G45" s="40">
        <f>'OECD Asia Oceania 2018'!$J$26/'OECD Asia Oceania 2018'!$L$26</f>
        <v>0.61726173603322698</v>
      </c>
      <c r="H45" s="89">
        <f>1-H46-H44-H43-H42-H41-H40</f>
        <v>0.61726173603322687</v>
      </c>
      <c r="I45" s="89">
        <f>1-I46-I44-I43-I42-I41-I40</f>
        <v>0.61726173603322687</v>
      </c>
    </row>
    <row r="46" spans="1:9" x14ac:dyDescent="0.35">
      <c r="A46" s="30" t="s">
        <v>148</v>
      </c>
      <c r="B46" s="40">
        <f>'OECD Asia Oceania 1995'!$K$26/'OECD Asia Oceania 1995'!$L$26</f>
        <v>5.5285567791698246E-3</v>
      </c>
      <c r="C46" s="40">
        <f>'OECD Asia Oceania 2000'!$K$26/'OECD Asia Oceania 2000'!$L$26</f>
        <v>7.9141200438802694E-3</v>
      </c>
      <c r="D46" s="40">
        <f>'OECD Asia Oceania 2005'!$K$26/'OECD Asia Oceania 2005'!$L$26</f>
        <v>9.0604224274872039E-3</v>
      </c>
      <c r="E46" s="40">
        <f>'OECD Asia Oceania 2010'!$K$26/'OECD Asia Oceania 2010'!$L$26</f>
        <v>9.5551055548145358E-3</v>
      </c>
      <c r="F46" s="40">
        <f>'OECD Asia Oceania 2015'!$K$26/'OECD Asia Oceania 2015'!$L$26</f>
        <v>8.9056807448387541E-3</v>
      </c>
      <c r="G46" s="40">
        <f>'OECD Asia Oceania 2018'!$K$26/'OECD Asia Oceania 2018'!$L$26</f>
        <v>1.0401902907356512E-2</v>
      </c>
      <c r="H46" s="77">
        <f t="shared" si="0"/>
        <v>1.0401902907356512E-2</v>
      </c>
      <c r="I46" s="77">
        <f t="shared" si="0"/>
        <v>1.0401902907356512E-2</v>
      </c>
    </row>
    <row r="47" spans="1:9" x14ac:dyDescent="0.35">
      <c r="A47" s="31" t="s">
        <v>152</v>
      </c>
      <c r="B47" s="81"/>
      <c r="C47" s="81"/>
      <c r="D47" s="81"/>
      <c r="E47" s="81"/>
      <c r="F47" s="81"/>
      <c r="G47" s="81"/>
      <c r="H47" s="42">
        <f t="shared" si="0"/>
        <v>0</v>
      </c>
      <c r="I47" s="42">
        <f t="shared" si="0"/>
        <v>0</v>
      </c>
    </row>
    <row r="48" spans="1:9" x14ac:dyDescent="0.35">
      <c r="A48" s="30" t="s">
        <v>141</v>
      </c>
      <c r="B48" s="40">
        <f>'OECD Asia Oceania 1995'!$B$27/'OECD Asia Oceania 1995'!$L$27</f>
        <v>2.573570549401365E-3</v>
      </c>
      <c r="C48" s="40">
        <f>'OECD Asia Oceania 2000'!$B$27/'OECD Asia Oceania 2000'!$L$27</f>
        <v>1.3014315747322054E-3</v>
      </c>
      <c r="D48" s="40">
        <f>'OECD Asia Oceania 2005'!$B$27/'OECD Asia Oceania 2005'!$L$27</f>
        <v>3.167420814479638E-3</v>
      </c>
      <c r="E48" s="40">
        <f>'OECD Asia Oceania 2010'!$B$27/'OECD Asia Oceania 2010'!$L$27</f>
        <v>5.2549862653768062E-3</v>
      </c>
      <c r="F48" s="40">
        <f>'OECD Asia Oceania 2015'!$B$27/'OECD Asia Oceania 2015'!$L$27</f>
        <v>5.7817689752737112E-3</v>
      </c>
      <c r="G48" s="40">
        <f>'OECD Asia Oceania 2018'!$B$27/'OECD Asia Oceania 2018'!$L$27</f>
        <v>5.3298590548383276E-3</v>
      </c>
      <c r="H48" s="77">
        <f t="shared" si="0"/>
        <v>5.3298590548383276E-3</v>
      </c>
      <c r="I48" s="77">
        <f t="shared" si="0"/>
        <v>5.3298590548383276E-3</v>
      </c>
    </row>
    <row r="49" spans="1:9" x14ac:dyDescent="0.35">
      <c r="A49" s="30" t="s">
        <v>143</v>
      </c>
      <c r="B49" s="40">
        <f>'OECD Asia Oceania 1995'!$D$27/'OECD Asia Oceania 1995'!$L$27</f>
        <v>0.8782589235761441</v>
      </c>
      <c r="C49" s="40">
        <f>'OECD Asia Oceania 2000'!$D$27/'OECD Asia Oceania 2000'!$L$27</f>
        <v>0.86445089598558411</v>
      </c>
      <c r="D49" s="40">
        <f>'OECD Asia Oceania 2005'!$D$27/'OECD Asia Oceania 2005'!$L$27</f>
        <v>0.85531674208144792</v>
      </c>
      <c r="E49" s="40">
        <f>'OECD Asia Oceania 2010'!$D$27/'OECD Asia Oceania 2010'!$L$27</f>
        <v>0.81237310402484175</v>
      </c>
      <c r="F49" s="40">
        <f>'OECD Asia Oceania 2015'!$D$27/'OECD Asia Oceania 2015'!$L$27</f>
        <v>0.73576085619387377</v>
      </c>
      <c r="G49" s="40">
        <f>'OECD Asia Oceania 2018'!$D$27/'OECD Asia Oceania 2018'!$L$27</f>
        <v>0.72734809901693709</v>
      </c>
      <c r="H49" s="77">
        <f t="shared" si="0"/>
        <v>0.72734809901693709</v>
      </c>
      <c r="I49" s="77">
        <f t="shared" si="0"/>
        <v>0.72734809901693709</v>
      </c>
    </row>
    <row r="50" spans="1:9" x14ac:dyDescent="0.35">
      <c r="A50" s="30" t="s">
        <v>241</v>
      </c>
      <c r="B50" s="40">
        <f>'OECD Asia Oceania 1995'!$E$27/'OECD Asia Oceania 1995'!$L$27</f>
        <v>5.0352467270896274E-3</v>
      </c>
      <c r="C50" s="40">
        <f>'OECD Asia Oceania 2000'!$E$27/'OECD Asia Oceania 2000'!$L$27</f>
        <v>5.7062769045950548E-3</v>
      </c>
      <c r="D50" s="40">
        <f>'OECD Asia Oceania 2005'!$E$27/'OECD Asia Oceania 2005'!$L$27</f>
        <v>8.0316742081447956E-3</v>
      </c>
      <c r="E50" s="40">
        <f>'OECD Asia Oceania 2010'!$E$27/'OECD Asia Oceania 2010'!$L$27</f>
        <v>4.6578287352203509E-3</v>
      </c>
      <c r="F50" s="40">
        <f>'OECD Asia Oceania 2015'!$E$27/'OECD Asia Oceania 2015'!$L$27</f>
        <v>8.2420961987944401E-3</v>
      </c>
      <c r="G50" s="40">
        <f>'OECD Asia Oceania 2018'!$E$27/'OECD Asia Oceania 2018'!$L$27</f>
        <v>6.7511548027952154E-3</v>
      </c>
      <c r="H50" s="77">
        <f t="shared" si="0"/>
        <v>6.7511548027952154E-3</v>
      </c>
      <c r="I50" s="77">
        <f t="shared" si="0"/>
        <v>6.7511548027952154E-3</v>
      </c>
    </row>
    <row r="51" spans="1:9" x14ac:dyDescent="0.35">
      <c r="A51" s="30" t="s">
        <v>145</v>
      </c>
      <c r="B51" s="40">
        <f>'OECD Asia Oceania 1995'!$H$27/'OECD Asia Oceania 1995'!$L$27</f>
        <v>1.0853754056170974E-2</v>
      </c>
      <c r="C51" s="40">
        <f>'OECD Asia Oceania 2000'!$H$27/'OECD Asia Oceania 2000'!$L$27</f>
        <v>1.0311342476724397E-2</v>
      </c>
      <c r="D51" s="40">
        <f>'OECD Asia Oceania 2005'!$H$27/'OECD Asia Oceania 2005'!$L$27</f>
        <v>2.4886877828054297E-3</v>
      </c>
      <c r="E51" s="40">
        <f>'OECD Asia Oceania 2010'!$H$27/'OECD Asia Oceania 2010'!$L$27</f>
        <v>3.8218081930013136E-3</v>
      </c>
      <c r="F51" s="40">
        <f>'OECD Asia Oceania 2015'!$H$27/'OECD Asia Oceania 2015'!$L$27</f>
        <v>5.7817689752737112E-3</v>
      </c>
      <c r="G51" s="40">
        <f>'OECD Asia Oceania 2018'!$H$27/'OECD Asia Oceania 2018'!$L$27</f>
        <v>6.3958308658059928E-3</v>
      </c>
      <c r="H51" s="77">
        <f t="shared" si="0"/>
        <v>6.3958308658059928E-3</v>
      </c>
      <c r="I51" s="77">
        <f t="shared" si="0"/>
        <v>6.3958308658059928E-3</v>
      </c>
    </row>
    <row r="52" spans="1:9" x14ac:dyDescent="0.35">
      <c r="A52" s="30" t="s">
        <v>146</v>
      </c>
      <c r="B52" s="40">
        <f>'OECD Asia Oceania 1995'!$I$27/'OECD Asia Oceania 1995'!$L$27</f>
        <v>0</v>
      </c>
      <c r="C52" s="40">
        <f>'OECD Asia Oceania 2000'!$I$27/'OECD Asia Oceania 2000'!$L$27</f>
        <v>0</v>
      </c>
      <c r="D52" s="40">
        <f>'OECD Asia Oceania 2005'!$I$27/'OECD Asia Oceania 2005'!$L$27</f>
        <v>0</v>
      </c>
      <c r="E52" s="40">
        <f>'OECD Asia Oceania 2010'!$I$27/'OECD Asia Oceania 2010'!$L$27</f>
        <v>0</v>
      </c>
      <c r="F52" s="40">
        <f>'OECD Asia Oceania 2015'!$I$27/'OECD Asia Oceania 2015'!$L$27</f>
        <v>7.9960634764423676E-3</v>
      </c>
      <c r="G52" s="40">
        <f>'OECD Asia Oceania 2018'!$I$27/'OECD Asia Oceania 2018'!$L$27</f>
        <v>8.2908918630818437E-3</v>
      </c>
      <c r="H52" s="77">
        <f t="shared" si="0"/>
        <v>8.2908918630818437E-3</v>
      </c>
      <c r="I52" s="77">
        <f t="shared" si="0"/>
        <v>8.2908918630818437E-3</v>
      </c>
    </row>
    <row r="53" spans="1:9" x14ac:dyDescent="0.35">
      <c r="A53" s="30" t="s">
        <v>147</v>
      </c>
      <c r="B53" s="40">
        <f>'OECD Asia Oceania 1995'!$J$27/'OECD Asia Oceania 1995'!$L$27</f>
        <v>0.10339039946290701</v>
      </c>
      <c r="C53" s="40">
        <f>'OECD Asia Oceania 2000'!$J$27/'OECD Asia Oceania 2000'!$L$27</f>
        <v>0.1182300530583642</v>
      </c>
      <c r="D53" s="40">
        <f>'OECD Asia Oceania 2005'!$J$27/'OECD Asia Oceania 2005'!$L$27</f>
        <v>0.13099547511312218</v>
      </c>
      <c r="E53" s="40">
        <f>'OECD Asia Oceania 2010'!$J$27/'OECD Asia Oceania 2010'!$L$27</f>
        <v>0.17389227278155978</v>
      </c>
      <c r="F53" s="40">
        <f>'OECD Asia Oceania 2015'!$J$27/'OECD Asia Oceania 2015'!$L$27</f>
        <v>0.23631442981916595</v>
      </c>
      <c r="G53" s="40">
        <f>'OECD Asia Oceania 2018'!$J$27/'OECD Asia Oceania 2018'!$L$27</f>
        <v>0.24588416439654151</v>
      </c>
      <c r="H53" s="89">
        <f>1-H54-H52-H51-H50-H49-H48</f>
        <v>0.24588416439654157</v>
      </c>
      <c r="I53" s="89">
        <f>1-I54-I52-I51-I50-I49-I48</f>
        <v>0.24588416439654157</v>
      </c>
    </row>
    <row r="54" spans="1:9" x14ac:dyDescent="0.35">
      <c r="A54" s="30" t="s">
        <v>148</v>
      </c>
      <c r="B54" s="40">
        <f>'OECD Asia Oceania 1995'!$K$27/'OECD Asia Oceania 1995'!$L$27</f>
        <v>0</v>
      </c>
      <c r="C54" s="40">
        <f>'OECD Asia Oceania 2000'!$K$27/'OECD Asia Oceania 2000'!$L$27</f>
        <v>0</v>
      </c>
      <c r="D54" s="40">
        <f>'OECD Asia Oceania 2005'!$K$27/'OECD Asia Oceania 2005'!$L$27</f>
        <v>0</v>
      </c>
      <c r="E54" s="40">
        <f>'OECD Asia Oceania 2010'!$K$27/'OECD Asia Oceania 2010'!$L$27</f>
        <v>0</v>
      </c>
      <c r="F54" s="40">
        <f>'OECD Asia Oceania 2015'!$K$27/'OECD Asia Oceania 2015'!$L$27</f>
        <v>0</v>
      </c>
      <c r="G54" s="40">
        <f>'OECD Asia Oceania 2018'!$K$27/'OECD Asia Oceania 2018'!$L$27</f>
        <v>0</v>
      </c>
      <c r="H54" s="77">
        <f t="shared" si="0"/>
        <v>0</v>
      </c>
      <c r="I54" s="77">
        <f t="shared" si="0"/>
        <v>0</v>
      </c>
    </row>
    <row r="55" spans="1:9" x14ac:dyDescent="0.35">
      <c r="A55" s="31" t="s">
        <v>153</v>
      </c>
      <c r="B55" s="81"/>
      <c r="C55" s="81"/>
      <c r="D55" s="81"/>
      <c r="E55" s="81"/>
      <c r="F55" s="81"/>
      <c r="G55" s="81"/>
      <c r="H55" s="42">
        <f t="shared" si="0"/>
        <v>0</v>
      </c>
      <c r="I55" s="42">
        <f t="shared" si="0"/>
        <v>0</v>
      </c>
    </row>
    <row r="56" spans="1:9" x14ac:dyDescent="0.35">
      <c r="A56" s="30" t="s">
        <v>141</v>
      </c>
      <c r="B56" s="40">
        <f>'OECD Asia Oceania 1995'!$B$28/'OECD Asia Oceania 1995'!$L$28</f>
        <v>0</v>
      </c>
      <c r="C56" s="40">
        <f>'OECD Asia Oceania 2000'!$B$28/'OECD Asia Oceania 2000'!$L$28</f>
        <v>0</v>
      </c>
      <c r="D56" s="40">
        <f>'OECD Asia Oceania 2005'!$B$28/'OECD Asia Oceania 2005'!$L$28</f>
        <v>0</v>
      </c>
      <c r="E56" s="40">
        <f>'OECD Asia Oceania 2010'!$B$28/'OECD Asia Oceania 2010'!$L$28</f>
        <v>0</v>
      </c>
      <c r="F56" s="40">
        <f>'OECD Asia Oceania 2015'!$B$28/'OECD Asia Oceania 2015'!$L$28</f>
        <v>0</v>
      </c>
      <c r="G56" s="40">
        <f>'OECD Asia Oceania 2018'!$B$28/'OECD Asia Oceania 2018'!$L$28</f>
        <v>0</v>
      </c>
      <c r="H56" s="77">
        <f t="shared" si="0"/>
        <v>0</v>
      </c>
      <c r="I56" s="77">
        <f t="shared" si="0"/>
        <v>0</v>
      </c>
    </row>
    <row r="57" spans="1:9" x14ac:dyDescent="0.35">
      <c r="A57" s="30" t="s">
        <v>143</v>
      </c>
      <c r="B57" s="40">
        <f>'OECD Asia Oceania 1995'!$D$28/'OECD Asia Oceania 1995'!$L$28</f>
        <v>0.98084632516703785</v>
      </c>
      <c r="C57" s="40">
        <f>'OECD Asia Oceania 2000'!$D$28/'OECD Asia Oceania 2000'!$L$28</f>
        <v>0.98179271708683469</v>
      </c>
      <c r="D57" s="40">
        <f>'OECD Asia Oceania 2005'!$D$28/'OECD Asia Oceania 2005'!$L$28</f>
        <v>0.94295900178253123</v>
      </c>
      <c r="E57" s="40">
        <f>'OECD Asia Oceania 2010'!$D$28/'OECD Asia Oceania 2010'!$L$28</f>
        <v>0.92429456297315893</v>
      </c>
      <c r="F57" s="40">
        <f>'OECD Asia Oceania 2015'!$D$28/'OECD Asia Oceania 2015'!$L$28</f>
        <v>0.89018427980443771</v>
      </c>
      <c r="G57" s="40">
        <f>'OECD Asia Oceania 2018'!$D$28/'OECD Asia Oceania 2018'!$L$28</f>
        <v>0.87767969735182849</v>
      </c>
      <c r="H57" s="77">
        <f t="shared" si="0"/>
        <v>0.87767969735182849</v>
      </c>
      <c r="I57" s="77">
        <f t="shared" si="0"/>
        <v>0.87767969735182849</v>
      </c>
    </row>
    <row r="58" spans="1:9" x14ac:dyDescent="0.35">
      <c r="A58" s="30" t="s">
        <v>241</v>
      </c>
      <c r="B58" s="40">
        <f>'OECD Asia Oceania 1995'!$E$28/'OECD Asia Oceania 1995'!$L$28</f>
        <v>8.9086859688195994E-4</v>
      </c>
      <c r="C58" s="40">
        <f>'OECD Asia Oceania 2000'!$E$28/'OECD Asia Oceania 2000'!$L$28</f>
        <v>4.6685340802987864E-4</v>
      </c>
      <c r="D58" s="40">
        <f>'OECD Asia Oceania 2005'!$E$28/'OECD Asia Oceania 2005'!$L$28</f>
        <v>2.9708853238265005E-4</v>
      </c>
      <c r="E58" s="40">
        <f>'OECD Asia Oceania 2010'!$E$28/'OECD Asia Oceania 2010'!$L$28</f>
        <v>3.4411562284927734E-4</v>
      </c>
      <c r="F58" s="40">
        <f>'OECD Asia Oceania 2015'!$E$28/'OECD Asia Oceania 2015'!$L$28</f>
        <v>0</v>
      </c>
      <c r="G58" s="40">
        <f>'OECD Asia Oceania 2018'!$E$28/'OECD Asia Oceania 2018'!$L$28</f>
        <v>4.2034468263976461E-4</v>
      </c>
      <c r="H58" s="77">
        <f t="shared" si="0"/>
        <v>4.2034468263976461E-4</v>
      </c>
      <c r="I58" s="77">
        <f t="shared" si="0"/>
        <v>4.2034468263976461E-4</v>
      </c>
    </row>
    <row r="59" spans="1:9" x14ac:dyDescent="0.35">
      <c r="A59" s="30" t="s">
        <v>145</v>
      </c>
      <c r="B59" s="40">
        <f>'OECD Asia Oceania 1995'!$H$28/'OECD Asia Oceania 1995'!$L$28</f>
        <v>0</v>
      </c>
      <c r="C59" s="40">
        <f>'OECD Asia Oceania 2000'!$H$28/'OECD Asia Oceania 2000'!$L$28</f>
        <v>0</v>
      </c>
      <c r="D59" s="40">
        <f>'OECD Asia Oceania 2005'!$H$28/'OECD Asia Oceania 2005'!$L$28</f>
        <v>1.4854426619132501E-3</v>
      </c>
      <c r="E59" s="40">
        <f>'OECD Asia Oceania 2010'!$H$28/'OECD Asia Oceania 2010'!$L$28</f>
        <v>1.0323468685478321E-3</v>
      </c>
      <c r="F59" s="40">
        <f>'OECD Asia Oceania 2015'!$H$28/'OECD Asia Oceania 2015'!$L$28</f>
        <v>1.1282437006393381E-3</v>
      </c>
      <c r="G59" s="40">
        <f>'OECD Asia Oceania 2018'!$H$28/'OECD Asia Oceania 2018'!$L$28</f>
        <v>1.2610340479192938E-3</v>
      </c>
      <c r="H59" s="77">
        <f t="shared" si="0"/>
        <v>1.2610340479192938E-3</v>
      </c>
      <c r="I59" s="77">
        <f t="shared" si="0"/>
        <v>1.2610340479192938E-3</v>
      </c>
    </row>
    <row r="60" spans="1:9" x14ac:dyDescent="0.35">
      <c r="A60" s="30" t="s">
        <v>146</v>
      </c>
      <c r="B60" s="40">
        <f>'OECD Asia Oceania 1995'!$I$28/'OECD Asia Oceania 1995'!$L$28</f>
        <v>0</v>
      </c>
      <c r="C60" s="40">
        <f>'OECD Asia Oceania 2000'!$I$28/'OECD Asia Oceania 2000'!$L$28</f>
        <v>0</v>
      </c>
      <c r="D60" s="40">
        <f>'OECD Asia Oceania 2005'!$I$28/'OECD Asia Oceania 2005'!$L$28</f>
        <v>0</v>
      </c>
      <c r="E60" s="40">
        <f>'OECD Asia Oceania 2010'!$I$28/'OECD Asia Oceania 2010'!$L$28</f>
        <v>0</v>
      </c>
      <c r="F60" s="40">
        <f>'OECD Asia Oceania 2015'!$I$28/'OECD Asia Oceania 2015'!$L$28</f>
        <v>0</v>
      </c>
      <c r="G60" s="40">
        <f>'OECD Asia Oceania 2018'!$I$28/'OECD Asia Oceania 2018'!$L$28</f>
        <v>0</v>
      </c>
      <c r="H60" s="77">
        <f t="shared" si="0"/>
        <v>0</v>
      </c>
      <c r="I60" s="77">
        <f t="shared" si="0"/>
        <v>0</v>
      </c>
    </row>
    <row r="61" spans="1:9" x14ac:dyDescent="0.35">
      <c r="A61" s="30" t="s">
        <v>147</v>
      </c>
      <c r="B61" s="40">
        <f>'OECD Asia Oceania 1995'!$J$28/'OECD Asia Oceania 1995'!$L$28</f>
        <v>1.8262806236080179E-2</v>
      </c>
      <c r="C61" s="40">
        <f>'OECD Asia Oceania 2000'!$J$28/'OECD Asia Oceania 2000'!$L$28</f>
        <v>1.7740429505135387E-2</v>
      </c>
      <c r="D61" s="40">
        <f>'OECD Asia Oceania 2005'!$J$28/'OECD Asia Oceania 2005'!$L$28</f>
        <v>5.4961378490790254E-2</v>
      </c>
      <c r="E61" s="40">
        <f>'OECD Asia Oceania 2010'!$J$28/'OECD Asia Oceania 2010'!$L$28</f>
        <v>7.4328974535443904E-2</v>
      </c>
      <c r="F61" s="40">
        <f>'OECD Asia Oceania 2015'!$J$28/'OECD Asia Oceania 2015'!$L$28</f>
        <v>0.1086874764949229</v>
      </c>
      <c r="G61" s="40">
        <f>'OECD Asia Oceania 2018'!$J$28/'OECD Asia Oceania 2018'!$L$28</f>
        <v>0.12063892391761244</v>
      </c>
      <c r="H61" s="89">
        <f>1-H62-H60-H59-H58-H57-H56</f>
        <v>0.12063892391761244</v>
      </c>
      <c r="I61" s="89">
        <f>1-I62-I60-I59-I58-I57-I56</f>
        <v>0.12063892391761244</v>
      </c>
    </row>
    <row r="62" spans="1:9" x14ac:dyDescent="0.35">
      <c r="A62" s="30" t="s">
        <v>148</v>
      </c>
      <c r="B62" s="40">
        <f>'OECD Asia Oceania 1995'!$K$28/'OECD Asia Oceania 1995'!$L$28</f>
        <v>0</v>
      </c>
      <c r="C62" s="40">
        <f>'OECD Asia Oceania 2000'!$K$28/'OECD Asia Oceania 2000'!$L$28</f>
        <v>0</v>
      </c>
      <c r="D62" s="40">
        <f>'OECD Asia Oceania 2005'!$K$28/'OECD Asia Oceania 2005'!$L$28</f>
        <v>0</v>
      </c>
      <c r="E62" s="40">
        <f>'OECD Asia Oceania 2010'!$K$28/'OECD Asia Oceania 2010'!$L$28</f>
        <v>0</v>
      </c>
      <c r="F62" s="40">
        <f>'OECD Asia Oceania 2015'!$K$28/'OECD Asia Oceania 2015'!$L$28</f>
        <v>0</v>
      </c>
      <c r="G62" s="40">
        <f>'OECD Asia Oceania 2018'!$K$28/'OECD Asia Oceania 2018'!$L$28</f>
        <v>0</v>
      </c>
      <c r="H62" s="77">
        <f t="shared" si="0"/>
        <v>0</v>
      </c>
      <c r="I62" s="77">
        <f t="shared" si="0"/>
        <v>0</v>
      </c>
    </row>
    <row r="63" spans="1:9" x14ac:dyDescent="0.35">
      <c r="A63" s="31" t="s">
        <v>154</v>
      </c>
      <c r="B63" s="81"/>
      <c r="C63" s="81"/>
      <c r="D63" s="81"/>
      <c r="E63" s="81"/>
      <c r="F63" s="81"/>
      <c r="G63" s="81"/>
      <c r="H63" s="42">
        <f t="shared" si="0"/>
        <v>0</v>
      </c>
      <c r="I63" s="42">
        <f t="shared" si="0"/>
        <v>0</v>
      </c>
    </row>
    <row r="64" spans="1:9" x14ac:dyDescent="0.35">
      <c r="A64" s="30" t="s">
        <v>141</v>
      </c>
      <c r="B64" s="40">
        <f>'OECD Asia Oceania 1995'!$B$29/'OECD Asia Oceania 1995'!$L$29</f>
        <v>0</v>
      </c>
      <c r="C64" s="40">
        <f>'OECD Asia Oceania 2000'!$B$29/'OECD Asia Oceania 2000'!$L$29</f>
        <v>0</v>
      </c>
      <c r="D64" s="40">
        <f>'OECD Asia Oceania 2005'!$B$29/'OECD Asia Oceania 2005'!$L$29</f>
        <v>0</v>
      </c>
      <c r="E64" s="40">
        <f>'OECD Asia Oceania 2010'!$B$29/'OECD Asia Oceania 2010'!$L$29</f>
        <v>0</v>
      </c>
      <c r="F64" s="40">
        <f>'OECD Asia Oceania 2015'!$B$29/'OECD Asia Oceania 2015'!$L$29</f>
        <v>0</v>
      </c>
      <c r="G64" s="40">
        <f>'OECD Asia Oceania 2018'!$B$29/'OECD Asia Oceania 2018'!$L$29</f>
        <v>0</v>
      </c>
      <c r="H64" s="77">
        <f t="shared" si="0"/>
        <v>0</v>
      </c>
      <c r="I64" s="77">
        <f t="shared" si="0"/>
        <v>0</v>
      </c>
    </row>
    <row r="65" spans="1:9" x14ac:dyDescent="0.35">
      <c r="A65" s="30" t="s">
        <v>143</v>
      </c>
      <c r="B65" s="40">
        <f>'OECD Asia Oceania 1995'!$D$29/'OECD Asia Oceania 1995'!$L$29</f>
        <v>0.87296747967479671</v>
      </c>
      <c r="C65" s="40">
        <f>'OECD Asia Oceania 2000'!$D$29/'OECD Asia Oceania 2000'!$L$29</f>
        <v>0.68565474122959358</v>
      </c>
      <c r="D65" s="40">
        <f>'OECD Asia Oceania 2005'!$D$29/'OECD Asia Oceania 2005'!$L$29</f>
        <v>0.58894878706199461</v>
      </c>
      <c r="E65" s="40">
        <f>'OECD Asia Oceania 2010'!$D$29/'OECD Asia Oceania 2010'!$L$29</f>
        <v>0.61357142857142855</v>
      </c>
      <c r="F65" s="40">
        <f>'OECD Asia Oceania 2015'!$D$29/'OECD Asia Oceania 2015'!$L$29</f>
        <v>0.59941520467836262</v>
      </c>
      <c r="G65" s="40">
        <f>'OECD Asia Oceania 2018'!$D$29/'OECD Asia Oceania 2018'!$L$29</f>
        <v>0.60618634477555644</v>
      </c>
      <c r="H65" s="77">
        <f t="shared" si="0"/>
        <v>0.60618634477555644</v>
      </c>
      <c r="I65" s="77">
        <f t="shared" si="0"/>
        <v>0.60618634477555644</v>
      </c>
    </row>
    <row r="66" spans="1:9" x14ac:dyDescent="0.35">
      <c r="A66" s="30" t="s">
        <v>241</v>
      </c>
      <c r="B66" s="40">
        <f>'OECD Asia Oceania 1995'!$E$29/'OECD Asia Oceania 1995'!$L$29</f>
        <v>0</v>
      </c>
      <c r="C66" s="40">
        <f>'OECD Asia Oceania 2000'!$E$29/'OECD Asia Oceania 2000'!$L$29</f>
        <v>0</v>
      </c>
      <c r="D66" s="40">
        <f>'OECD Asia Oceania 2005'!$E$29/'OECD Asia Oceania 2005'!$L$29</f>
        <v>0</v>
      </c>
      <c r="E66" s="40">
        <f>'OECD Asia Oceania 2010'!$E$29/'OECD Asia Oceania 2010'!$L$29</f>
        <v>0</v>
      </c>
      <c r="F66" s="40">
        <f>'OECD Asia Oceania 2015'!$E$29/'OECD Asia Oceania 2015'!$L$29</f>
        <v>2.448830409356725E-2</v>
      </c>
      <c r="G66" s="40">
        <f>'OECD Asia Oceania 2018'!$E$29/'OECD Asia Oceania 2018'!$L$29</f>
        <v>3.5835533760844966E-2</v>
      </c>
      <c r="H66" s="77">
        <f t="shared" si="0"/>
        <v>3.5835533760844966E-2</v>
      </c>
      <c r="I66" s="77">
        <f t="shared" si="0"/>
        <v>3.5835533760844966E-2</v>
      </c>
    </row>
    <row r="67" spans="1:9" x14ac:dyDescent="0.35">
      <c r="A67" s="30" t="s">
        <v>145</v>
      </c>
      <c r="B67" s="40">
        <f>'OECD Asia Oceania 1995'!$H$29/'OECD Asia Oceania 1995'!$L$29</f>
        <v>0</v>
      </c>
      <c r="C67" s="40">
        <f>'OECD Asia Oceania 2000'!$H$29/'OECD Asia Oceania 2000'!$L$29</f>
        <v>0</v>
      </c>
      <c r="D67" s="40">
        <f>'OECD Asia Oceania 2005'!$H$29/'OECD Asia Oceania 2005'!$L$29</f>
        <v>6.7385444743935314E-4</v>
      </c>
      <c r="E67" s="40">
        <f>'OECD Asia Oceania 2010'!$H$29/'OECD Asia Oceania 2010'!$L$29</f>
        <v>3.5714285714285714E-4</v>
      </c>
      <c r="F67" s="40">
        <f>'OECD Asia Oceania 2015'!$H$29/'OECD Asia Oceania 2015'!$L$29</f>
        <v>2.5584795321637425E-3</v>
      </c>
      <c r="G67" s="40">
        <f>'OECD Asia Oceania 2018'!$H$29/'OECD Asia Oceania 2018'!$L$29</f>
        <v>2.6405130139569972E-3</v>
      </c>
      <c r="H67" s="77">
        <f t="shared" si="0"/>
        <v>2.6405130139569972E-3</v>
      </c>
      <c r="I67" s="77">
        <f t="shared" si="0"/>
        <v>2.6405130139569972E-3</v>
      </c>
    </row>
    <row r="68" spans="1:9" x14ac:dyDescent="0.35">
      <c r="A68" s="30" t="s">
        <v>146</v>
      </c>
      <c r="B68" s="40">
        <f>'OECD Asia Oceania 1995'!$I$29/'OECD Asia Oceania 1995'!$L$29</f>
        <v>7.3678861788617888E-3</v>
      </c>
      <c r="C68" s="40">
        <f>'OECD Asia Oceania 2000'!$I$29/'OECD Asia Oceania 2000'!$L$29</f>
        <v>0.1945119833275443</v>
      </c>
      <c r="D68" s="40">
        <f>'OECD Asia Oceania 2005'!$I$29/'OECD Asia Oceania 2005'!$L$29</f>
        <v>0.32513477088948789</v>
      </c>
      <c r="E68" s="40">
        <f>'OECD Asia Oceania 2010'!$I$29/'OECD Asia Oceania 2010'!$L$29</f>
        <v>0.27785714285714286</v>
      </c>
      <c r="F68" s="40">
        <f>'OECD Asia Oceania 2015'!$I$29/'OECD Asia Oceania 2015'!$L$29</f>
        <v>0.23428362573099415</v>
      </c>
      <c r="G68" s="40">
        <f>'OECD Asia Oceania 2018'!$I$29/'OECD Asia Oceania 2018'!$L$29</f>
        <v>0.20784609581290078</v>
      </c>
      <c r="H68" s="77">
        <f t="shared" si="0"/>
        <v>0.20784609581290078</v>
      </c>
      <c r="I68" s="77">
        <f t="shared" si="0"/>
        <v>0.20784609581290078</v>
      </c>
    </row>
    <row r="69" spans="1:9" x14ac:dyDescent="0.35">
      <c r="A69" s="30" t="s">
        <v>147</v>
      </c>
      <c r="B69" s="40">
        <f>'OECD Asia Oceania 1995'!$J$29/'OECD Asia Oceania 1995'!$L$29</f>
        <v>6.6565040650406498E-2</v>
      </c>
      <c r="C69" s="40">
        <f>'OECD Asia Oceania 2000'!$J$29/'OECD Asia Oceania 2000'!$L$29</f>
        <v>0.11983327544286211</v>
      </c>
      <c r="D69" s="40">
        <f>'OECD Asia Oceania 2005'!$J$29/'OECD Asia Oceania 2005'!$L$29</f>
        <v>8.4905660377358486E-2</v>
      </c>
      <c r="E69" s="40">
        <f>'OECD Asia Oceania 2010'!$J$29/'OECD Asia Oceania 2010'!$L$29</f>
        <v>0.10785714285714286</v>
      </c>
      <c r="F69" s="40">
        <f>'OECD Asia Oceania 2015'!$J$29/'OECD Asia Oceania 2015'!$L$29</f>
        <v>0.13925438596491227</v>
      </c>
      <c r="G69" s="40">
        <f>'OECD Asia Oceania 2018'!$J$29/'OECD Asia Oceania 2018'!$L$29</f>
        <v>0.14749151263674085</v>
      </c>
      <c r="H69" s="89">
        <f>1-H70-H68-H67-H66-H65-H64</f>
        <v>0.14749151263674087</v>
      </c>
      <c r="I69" s="89">
        <f>1-I70-I68-I67-I66-I65-I64</f>
        <v>0.14749151263674087</v>
      </c>
    </row>
    <row r="70" spans="1:9" x14ac:dyDescent="0.35">
      <c r="A70" s="30" t="s">
        <v>148</v>
      </c>
      <c r="B70" s="40">
        <f>'OECD Asia Oceania 1995'!$K$29/'OECD Asia Oceania 1995'!$L$29</f>
        <v>5.2845528455284556E-2</v>
      </c>
      <c r="C70" s="40">
        <f>'OECD Asia Oceania 2000'!$K$29/'OECD Asia Oceania 2000'!$L$29</f>
        <v>0</v>
      </c>
      <c r="D70" s="40">
        <f>'OECD Asia Oceania 2005'!$K$29/'OECD Asia Oceania 2005'!$L$29</f>
        <v>0</v>
      </c>
      <c r="E70" s="40">
        <f>'OECD Asia Oceania 2010'!$K$29/'OECD Asia Oceania 2010'!$L$29</f>
        <v>0</v>
      </c>
      <c r="F70" s="40">
        <f>'OECD Asia Oceania 2015'!$K$29/'OECD Asia Oceania 2015'!$L$29</f>
        <v>0</v>
      </c>
      <c r="G70" s="40">
        <f>'OECD Asia Oceania 2018'!$K$29/'OECD Asia Oceania 2018'!$L$29</f>
        <v>0</v>
      </c>
      <c r="H70" s="77">
        <f t="shared" ref="H70:I133" si="1">G70</f>
        <v>0</v>
      </c>
      <c r="I70" s="77">
        <f t="shared" si="1"/>
        <v>0</v>
      </c>
    </row>
    <row r="71" spans="1:9" x14ac:dyDescent="0.35">
      <c r="A71" s="38" t="s">
        <v>155</v>
      </c>
      <c r="B71" s="42"/>
      <c r="C71" s="42"/>
      <c r="D71" s="42"/>
      <c r="E71" s="42"/>
      <c r="F71" s="42"/>
      <c r="G71" s="42"/>
      <c r="H71" s="42">
        <f t="shared" si="1"/>
        <v>0</v>
      </c>
      <c r="I71" s="42">
        <f t="shared" si="1"/>
        <v>0</v>
      </c>
    </row>
    <row r="72" spans="1:9" x14ac:dyDescent="0.35">
      <c r="A72" s="30" t="s">
        <v>147</v>
      </c>
      <c r="B72" s="40">
        <f>'OECD Asia Oceania 1995'!$J21/IF('OECD Asia Oceania 1995'!$J22=0,1,'OECD Asia Oceania 1995'!$J22)*-1</f>
        <v>5.5461648260836903E-2</v>
      </c>
      <c r="C72" s="40">
        <f>'OECD Asia Oceania 2000'!$J21/IF('OECD Asia Oceania 2000'!$J22=0,1,'OECD Asia Oceania 2000'!$J22)*-1</f>
        <v>5.3239014202828006E-2</v>
      </c>
      <c r="D72" s="40">
        <f>'OECD Asia Oceania 2005'!$J21/IF('OECD Asia Oceania 2005'!$J22=0,1,'OECD Asia Oceania 2005'!$J22)*-1</f>
        <v>5.0556814822114909E-2</v>
      </c>
      <c r="E72" s="40">
        <f>'OECD Asia Oceania 2010'!$J21/IF('OECD Asia Oceania 2010'!$J22=0,1,'OECD Asia Oceania 2010'!$J22)*-1</f>
        <v>4.8342190199850033E-2</v>
      </c>
      <c r="F72" s="40">
        <f>'OECD Asia Oceania 2015'!$J21/IF('OECD Asia Oceania 2015'!$J22=0,1,'OECD Asia Oceania 2015'!$J22)*-1</f>
        <v>4.3971819752758205E-2</v>
      </c>
      <c r="G72" s="40">
        <f>'OECD Asia Oceania 2018'!$J21/IF('OECD Asia Oceania 2018'!$J22=0,1,'OECD Asia Oceania 2018'!$J22)*-1</f>
        <v>4.5938626983817003E-2</v>
      </c>
      <c r="H72" s="77">
        <f t="shared" si="1"/>
        <v>4.5938626983817003E-2</v>
      </c>
      <c r="I72" s="77">
        <f t="shared" si="1"/>
        <v>4.5938626983817003E-2</v>
      </c>
    </row>
    <row r="73" spans="1:9" x14ac:dyDescent="0.35">
      <c r="A73" s="30" t="s">
        <v>148</v>
      </c>
      <c r="B73" s="40">
        <f>'OECD Asia Oceania 1995'!$K21/IF('OECD Asia Oceania 1995'!$K22=0,1,'OECD Asia Oceania 1995'!$K22)*-1</f>
        <v>1.7467248908296942E-2</v>
      </c>
      <c r="C73" s="40">
        <f>'OECD Asia Oceania 2000'!$K21/IF('OECD Asia Oceania 2000'!$K22=0,1,'OECD Asia Oceania 2000'!$K22)*-1</f>
        <v>1.4088181581007045E-2</v>
      </c>
      <c r="D73" s="40">
        <f>'OECD Asia Oceania 2005'!$K21/IF('OECD Asia Oceania 2005'!$K22=0,1,'OECD Asia Oceania 2005'!$K22)*-1</f>
        <v>1.7464678178963893E-2</v>
      </c>
      <c r="E73" s="40">
        <f>'OECD Asia Oceania 2010'!$K21/IF('OECD Asia Oceania 2010'!$K22=0,1,'OECD Asia Oceania 2010'!$K22)*-1</f>
        <v>1.0579857578840285E-2</v>
      </c>
      <c r="F73" s="40">
        <f>'OECD Asia Oceania 2015'!$K21/IF('OECD Asia Oceania 2015'!$K22=0,1,'OECD Asia Oceania 2015'!$K22)*-1</f>
        <v>1.2312743689718859E-2</v>
      </c>
      <c r="G73" s="40">
        <f>'OECD Asia Oceania 2018'!$K21/IF('OECD Asia Oceania 2018'!$K22=0,1,'OECD Asia Oceania 2018'!$K22)*-1</f>
        <v>9.865175928970734E-3</v>
      </c>
      <c r="H73" s="77">
        <f t="shared" si="1"/>
        <v>9.865175928970734E-3</v>
      </c>
      <c r="I73" s="77">
        <f t="shared" si="1"/>
        <v>9.865175928970734E-3</v>
      </c>
    </row>
    <row r="74" spans="1:9" x14ac:dyDescent="0.35">
      <c r="A74" s="38" t="s">
        <v>242</v>
      </c>
      <c r="B74" s="42"/>
      <c r="C74" s="42"/>
      <c r="D74" s="42"/>
      <c r="E74" s="42"/>
      <c r="F74" s="42"/>
      <c r="G74" s="42"/>
      <c r="H74" s="42">
        <f t="shared" si="1"/>
        <v>0</v>
      </c>
      <c r="I74" s="42">
        <f t="shared" si="1"/>
        <v>0</v>
      </c>
    </row>
    <row r="75" spans="1:9" x14ac:dyDescent="0.35">
      <c r="A75" s="30" t="s">
        <v>243</v>
      </c>
      <c r="B75" s="40">
        <f>'OECD Asia Oceania 1995'!$L20/B5*0.041872</f>
        <v>7.5983235910444466E-2</v>
      </c>
      <c r="C75" s="40">
        <f>'OECD Asia Oceania 2000'!$L20/C5*0.041872</f>
        <v>7.690483927998415E-2</v>
      </c>
      <c r="D75" s="40">
        <f>'OECD Asia Oceania 2005'!$L20/D5*0.041872</f>
        <v>7.5635661409719987E-2</v>
      </c>
      <c r="E75" s="40">
        <f>'OECD Asia Oceania 2010'!$L20/E5*0.041872</f>
        <v>8.7727833370006017E-2</v>
      </c>
      <c r="F75" s="40">
        <f>'OECD Asia Oceania 2015'!$L20/F5*0.041872</f>
        <v>9.0201557811139144E-2</v>
      </c>
      <c r="G75" s="40">
        <f>'OECD Asia Oceania 2018'!$L20/G5*0.041872</f>
        <v>9.3207876396591866E-2</v>
      </c>
      <c r="H75" s="77">
        <f t="shared" si="1"/>
        <v>9.3207876396591866E-2</v>
      </c>
      <c r="I75" s="77">
        <f t="shared" si="1"/>
        <v>9.3207876396591866E-2</v>
      </c>
    </row>
    <row r="76" spans="1:9" x14ac:dyDescent="0.35">
      <c r="A76" s="39" t="s">
        <v>158</v>
      </c>
      <c r="B76" s="43"/>
      <c r="C76" s="43"/>
      <c r="D76" s="43"/>
      <c r="E76" s="43"/>
      <c r="F76" s="43"/>
      <c r="G76" s="43"/>
      <c r="H76" s="43">
        <f t="shared" si="1"/>
        <v>0</v>
      </c>
      <c r="I76" s="43">
        <f t="shared" si="1"/>
        <v>0</v>
      </c>
    </row>
    <row r="77" spans="1:9" x14ac:dyDescent="0.35">
      <c r="A77" s="30" t="s">
        <v>147</v>
      </c>
      <c r="B77" s="40">
        <f>'OECD Asia Oceania 1995'!$J20/'OECD Asia Oceania 1995'!$L20</f>
        <v>0.21325514558597267</v>
      </c>
      <c r="C77" s="40">
        <f>'OECD Asia Oceania 2000'!$J20/'OECD Asia Oceania 2000'!$L20</f>
        <v>0.22281872059956945</v>
      </c>
      <c r="D77" s="40">
        <f>'OECD Asia Oceania 2005'!$J20/'OECD Asia Oceania 2005'!$L20</f>
        <v>0.2428421329130549</v>
      </c>
      <c r="E77" s="40">
        <f>'OECD Asia Oceania 2010'!$J20/'OECD Asia Oceania 2010'!$L20</f>
        <v>0.24241796677251598</v>
      </c>
      <c r="F77" s="40">
        <f>'OECD Asia Oceania 2015'!$J20/'OECD Asia Oceania 2015'!$L20</f>
        <v>0.22615261411737789</v>
      </c>
      <c r="G77" s="40">
        <f>'OECD Asia Oceania 2018'!$J20/'OECD Asia Oceania 2018'!$L20</f>
        <v>0.24026908012657389</v>
      </c>
      <c r="H77" s="89">
        <f>1-H78-H79-H80-H81-H82-H83</f>
        <v>0.2402690801265738</v>
      </c>
      <c r="I77" s="89">
        <f>1-I78-I79-I80-I81-I82-I83</f>
        <v>0.2402690801265738</v>
      </c>
    </row>
    <row r="78" spans="1:9" x14ac:dyDescent="0.35">
      <c r="A78" s="30" t="s">
        <v>148</v>
      </c>
      <c r="B78" s="40">
        <f>'OECD Asia Oceania 1995'!$K20/'OECD Asia Oceania 1995'!$L20</f>
        <v>1.5095654193398554E-3</v>
      </c>
      <c r="C78" s="40">
        <f>'OECD Asia Oceania 2000'!$K20/'OECD Asia Oceania 2000'!$L20</f>
        <v>1.5945996226114227E-4</v>
      </c>
      <c r="D78" s="40">
        <f>'OECD Asia Oceania 2005'!$K20/'OECD Asia Oceania 2005'!$L20</f>
        <v>2.3640661938534278E-4</v>
      </c>
      <c r="E78" s="40">
        <f>'OECD Asia Oceania 2010'!$K20/'OECD Asia Oceania 2010'!$L20</f>
        <v>2.1860186847070737E-3</v>
      </c>
      <c r="F78" s="40">
        <f>'OECD Asia Oceania 2015'!$K20/'OECD Asia Oceania 2015'!$L20</f>
        <v>2.1736643404644779E-3</v>
      </c>
      <c r="G78" s="40">
        <f>'OECD Asia Oceania 2018'!$K20/'OECD Asia Oceania 2018'!$L20</f>
        <v>2.6111393861609614E-3</v>
      </c>
      <c r="H78" s="77">
        <f t="shared" si="1"/>
        <v>2.6111393861609614E-3</v>
      </c>
      <c r="I78" s="77">
        <f t="shared" si="1"/>
        <v>2.6111393861609614E-3</v>
      </c>
    </row>
    <row r="79" spans="1:9" x14ac:dyDescent="0.35">
      <c r="A79" s="30" t="s">
        <v>141</v>
      </c>
      <c r="B79" s="40">
        <f>'OECD Asia Oceania 1995'!$B20/'OECD Asia Oceania 1995'!$L20</f>
        <v>0.16370075768572009</v>
      </c>
      <c r="C79" s="40">
        <f>'OECD Asia Oceania 2000'!$B20/'OECD Asia Oceania 2000'!$L20</f>
        <v>0.15286895048768173</v>
      </c>
      <c r="D79" s="40">
        <f>'OECD Asia Oceania 2005'!$B20/'OECD Asia Oceania 2005'!$L20</f>
        <v>0.12437614919884424</v>
      </c>
      <c r="E79" s="40">
        <f>'OECD Asia Oceania 2010'!$B20/'OECD Asia Oceania 2010'!$L20</f>
        <v>0.16687376317363892</v>
      </c>
      <c r="F79" s="40">
        <f>'OECD Asia Oceania 2015'!$B20/'OECD Asia Oceania 2015'!$L20</f>
        <v>0.17082713648323991</v>
      </c>
      <c r="G79" s="40">
        <f>'OECD Asia Oceania 2018'!$B20/'OECD Asia Oceania 2018'!$L20</f>
        <v>0.15640282357106502</v>
      </c>
      <c r="H79" s="77">
        <f t="shared" si="1"/>
        <v>0.15640282357106502</v>
      </c>
      <c r="I79" s="77">
        <f t="shared" si="1"/>
        <v>0.15640282357106502</v>
      </c>
    </row>
    <row r="80" spans="1:9" x14ac:dyDescent="0.35">
      <c r="A80" s="30" t="s">
        <v>244</v>
      </c>
      <c r="B80" s="40">
        <f>'OECD Asia Oceania 1995'!$E20/'OECD Asia Oceania 1995'!$L20</f>
        <v>9.7686300693819492E-2</v>
      </c>
      <c r="C80" s="40">
        <f>'OECD Asia Oceania 2000'!$E20/'OECD Asia Oceania 2000'!$L20</f>
        <v>0.11505036277141414</v>
      </c>
      <c r="D80" s="40">
        <f>'OECD Asia Oceania 2005'!$E20/'OECD Asia Oceania 2005'!$L20</f>
        <v>0.11221434200157604</v>
      </c>
      <c r="E80" s="40">
        <f>'OECD Asia Oceania 2010'!$E20/'OECD Asia Oceania 2010'!$L20</f>
        <v>0.14860324911408718</v>
      </c>
      <c r="F80" s="40">
        <f>'OECD Asia Oceania 2015'!$E20/'OECD Asia Oceania 2015'!$L20</f>
        <v>0.15265987873241049</v>
      </c>
      <c r="G80" s="40">
        <f>'OECD Asia Oceania 2018'!$E20/'OECD Asia Oceania 2018'!$L20</f>
        <v>0.20807240379721625</v>
      </c>
      <c r="H80" s="77">
        <f t="shared" si="1"/>
        <v>0.20807240379721625</v>
      </c>
      <c r="I80" s="77">
        <f t="shared" si="1"/>
        <v>0.20807240379721625</v>
      </c>
    </row>
    <row r="81" spans="1:9" x14ac:dyDescent="0.35">
      <c r="A81" s="30" t="s">
        <v>160</v>
      </c>
      <c r="B81" s="40">
        <f>'OECD Asia Oceania 1995'!$C20/'OECD Asia Oceania 1995'!$L20</f>
        <v>1.016053647632595E-3</v>
      </c>
      <c r="C81" s="40">
        <f>'OECD Asia Oceania 2000'!$C20/'OECD Asia Oceania 2000'!$L20</f>
        <v>5.3153320753714084E-4</v>
      </c>
      <c r="D81" s="40">
        <f>'OECD Asia Oceania 2005'!$C20/'OECD Asia Oceania 2005'!$L20</f>
        <v>1.5235093249277647E-3</v>
      </c>
      <c r="E81" s="40">
        <f>'OECD Asia Oceania 2010'!$C20/'OECD Asia Oceania 2010'!$L20</f>
        <v>2.3470937456854892E-3</v>
      </c>
      <c r="F81" s="40">
        <f>'OECD Asia Oceania 2015'!$C20/'OECD Asia Oceania 2015'!$L20</f>
        <v>1.3270792815467337E-3</v>
      </c>
      <c r="G81" s="40">
        <f>'OECD Asia Oceania 2018'!$C20/'OECD Asia Oceania 2018'!$L20</f>
        <v>1.9694186895620807E-3</v>
      </c>
      <c r="H81" s="77">
        <f t="shared" si="1"/>
        <v>1.9694186895620807E-3</v>
      </c>
      <c r="I81" s="77">
        <f t="shared" si="1"/>
        <v>1.9694186895620807E-3</v>
      </c>
    </row>
    <row r="82" spans="1:9" x14ac:dyDescent="0.35">
      <c r="A82" s="30" t="s">
        <v>143</v>
      </c>
      <c r="B82" s="40">
        <f>'OECD Asia Oceania 1995'!$D20/'OECD Asia Oceania 1995'!$L20</f>
        <v>0.52286120707173334</v>
      </c>
      <c r="C82" s="40">
        <f>'OECD Asia Oceania 2000'!$D20/'OECD Asia Oceania 2000'!$L20</f>
        <v>0.50854439631115955</v>
      </c>
      <c r="D82" s="40">
        <f>'OECD Asia Oceania 2005'!$D20/'OECD Asia Oceania 2005'!$L20</f>
        <v>0.51883372734436561</v>
      </c>
      <c r="E82" s="40">
        <f>'OECD Asia Oceania 2010'!$D20/'OECD Asia Oceania 2010'!$L20</f>
        <v>0.43752588706337153</v>
      </c>
      <c r="F82" s="40">
        <f>'OECD Asia Oceania 2015'!$D20/'OECD Asia Oceania 2015'!$L20</f>
        <v>0.44685962704496052</v>
      </c>
      <c r="G82" s="40">
        <f>'OECD Asia Oceania 2018'!$D20/'OECD Asia Oceania 2018'!$L20</f>
        <v>0.38744440264654467</v>
      </c>
      <c r="H82" s="77">
        <f t="shared" si="1"/>
        <v>0.38744440264654467</v>
      </c>
      <c r="I82" s="77">
        <f t="shared" si="1"/>
        <v>0.38744440264654467</v>
      </c>
    </row>
    <row r="83" spans="1:9" x14ac:dyDescent="0.35">
      <c r="A83" s="30" t="s">
        <v>161</v>
      </c>
      <c r="B83" s="40">
        <f>'OECD Asia Oceania 1995'!$I20/'OECD Asia Oceania 1995'!$L20</f>
        <v>0</v>
      </c>
      <c r="C83" s="40">
        <f>'OECD Asia Oceania 2000'!$I20/'OECD Asia Oceania 2000'!$L20</f>
        <v>0</v>
      </c>
      <c r="D83" s="40">
        <f>'OECD Asia Oceania 2005'!$I20/'OECD Asia Oceania 2005'!$L20</f>
        <v>0</v>
      </c>
      <c r="E83" s="40">
        <f>'OECD Asia Oceania 2010'!$I20/'OECD Asia Oceania 2010'!$L20</f>
        <v>0</v>
      </c>
      <c r="F83" s="40">
        <f>'OECD Asia Oceania 2015'!$I20/'OECD Asia Oceania 2015'!$L20</f>
        <v>0</v>
      </c>
      <c r="G83" s="40">
        <f>'OECD Asia Oceania 2018'!$I20/'OECD Asia Oceania 2018'!$L20</f>
        <v>3.2307317828771213E-3</v>
      </c>
      <c r="H83" s="77">
        <f t="shared" si="1"/>
        <v>3.2307317828771213E-3</v>
      </c>
      <c r="I83" s="77">
        <f t="shared" si="1"/>
        <v>3.2307317828771213E-3</v>
      </c>
    </row>
    <row r="84" spans="1:9" x14ac:dyDescent="0.35">
      <c r="A84" s="32" t="s">
        <v>162</v>
      </c>
      <c r="B84" s="82"/>
      <c r="C84" s="82"/>
      <c r="D84" s="82"/>
      <c r="E84" s="82"/>
      <c r="F84" s="82"/>
      <c r="G84" s="82"/>
      <c r="H84" s="42">
        <f t="shared" si="1"/>
        <v>0</v>
      </c>
      <c r="I84" s="42">
        <f t="shared" si="1"/>
        <v>0</v>
      </c>
    </row>
    <row r="85" spans="1:9" x14ac:dyDescent="0.35">
      <c r="A85" s="30" t="s">
        <v>163</v>
      </c>
      <c r="B85" s="40">
        <f>'OECD Asia Oceania 1995'!$K13/IF(('OECD Asia Oceania 1995'!$K13+'OECD Asia Oceania 1995'!$K14)=0,1,('OECD Asia Oceania 1995'!$K13+'OECD Asia Oceania 1995'!$K14))</f>
        <v>0.41992031872509961</v>
      </c>
      <c r="C85" s="40">
        <f>'OECD Asia Oceania 2000'!$K13/IF(('OECD Asia Oceania 2000'!$K13+'OECD Asia Oceania 2000'!$K14)=0,1,('OECD Asia Oceania 2000'!$K13+'OECD Asia Oceania 2000'!$K14))</f>
        <v>0.79374364191251268</v>
      </c>
      <c r="D85" s="40">
        <f>'OECD Asia Oceania 2005'!$K13/IF(('OECD Asia Oceania 2005'!$K13+'OECD Asia Oceania 2005'!$K14)=0,1,('OECD Asia Oceania 2005'!$K13+'OECD Asia Oceania 2005'!$K14))</f>
        <v>0.7862595419847328</v>
      </c>
      <c r="E85" s="40">
        <f>'OECD Asia Oceania 2010'!$K13/IF(('OECD Asia Oceania 2010'!$K13+'OECD Asia Oceania 2010'!$K14)=0,1,('OECD Asia Oceania 2010'!$K13+'OECD Asia Oceania 2010'!$K14))</f>
        <v>0.77358859152178161</v>
      </c>
      <c r="F85" s="40">
        <f>'OECD Asia Oceania 2015'!$K13/IF(('OECD Asia Oceania 2015'!$K13+'OECD Asia Oceania 2015'!$K14)=0,1,('OECD Asia Oceania 2015'!$K13+'OECD Asia Oceania 2015'!$K14))</f>
        <v>0.80691321315740572</v>
      </c>
      <c r="G85" s="40">
        <f>'OECD Asia Oceania 2018'!$K13/IF(('OECD Asia Oceania 2018'!$K13+'OECD Asia Oceania 2018'!$K14)=0,1,('OECD Asia Oceania 2018'!$K13+'OECD Asia Oceania 2018'!$K14))</f>
        <v>0.82343083485679469</v>
      </c>
      <c r="H85" s="89">
        <f>1-H86</f>
        <v>0.82343083485679469</v>
      </c>
      <c r="I85" s="89">
        <f>1-I86</f>
        <v>0.82343083485679469</v>
      </c>
    </row>
    <row r="86" spans="1:9" x14ac:dyDescent="0.35">
      <c r="A86" s="30" t="s">
        <v>164</v>
      </c>
      <c r="B86" s="40">
        <f>'OECD Asia Oceania 1995'!$K14/IF(('OECD Asia Oceania 1995'!$K13+'OECD Asia Oceania 1995'!$K14)=0,1,('OECD Asia Oceania 1995'!$K13+'OECD Asia Oceania 1995'!$K14))</f>
        <v>0.58007968127490039</v>
      </c>
      <c r="C86" s="40">
        <f>'OECD Asia Oceania 2000'!$K14/IF(('OECD Asia Oceania 2000'!$K13+'OECD Asia Oceania 2000'!$K14)=0,1,('OECD Asia Oceania 2000'!$K13+'OECD Asia Oceania 2000'!$K14))</f>
        <v>0.2062563580874873</v>
      </c>
      <c r="D86" s="40">
        <f>'OECD Asia Oceania 2005'!$K14/IF(('OECD Asia Oceania 2005'!$K13+'OECD Asia Oceania 2005'!$K14)=0,1,('OECD Asia Oceania 2005'!$K13+'OECD Asia Oceania 2005'!$K14))</f>
        <v>0.21374045801526717</v>
      </c>
      <c r="E86" s="40">
        <f>'OECD Asia Oceania 2010'!$K14/IF(('OECD Asia Oceania 2010'!$K13+'OECD Asia Oceania 2010'!$K14)=0,1,('OECD Asia Oceania 2010'!$K13+'OECD Asia Oceania 2010'!$K14))</f>
        <v>0.22641140847821839</v>
      </c>
      <c r="F86" s="40">
        <f>'OECD Asia Oceania 2015'!$K14/IF(('OECD Asia Oceania 2015'!$K13+'OECD Asia Oceania 2015'!$K14)=0,1,('OECD Asia Oceania 2015'!$K13+'OECD Asia Oceania 2015'!$K14))</f>
        <v>0.19308678684259431</v>
      </c>
      <c r="G86" s="40">
        <f>'OECD Asia Oceania 2018'!$K14/IF(('OECD Asia Oceania 2018'!$K13+'OECD Asia Oceania 2018'!$K14)=0,1,('OECD Asia Oceania 2018'!$K13+'OECD Asia Oceania 2018'!$K14))</f>
        <v>0.17656916514320536</v>
      </c>
      <c r="H86" s="77">
        <f t="shared" si="1"/>
        <v>0.17656916514320536</v>
      </c>
      <c r="I86" s="77">
        <f t="shared" si="1"/>
        <v>0.17656916514320536</v>
      </c>
    </row>
    <row r="87" spans="1:9" x14ac:dyDescent="0.35">
      <c r="A87" s="32" t="s">
        <v>165</v>
      </c>
      <c r="B87" s="82"/>
      <c r="C87" s="82"/>
      <c r="D87" s="82"/>
      <c r="E87" s="82"/>
      <c r="F87" s="82"/>
      <c r="G87" s="82"/>
      <c r="H87" s="42">
        <f t="shared" si="1"/>
        <v>0</v>
      </c>
      <c r="I87" s="42">
        <f t="shared" si="1"/>
        <v>0</v>
      </c>
    </row>
    <row r="88" spans="1:9" x14ac:dyDescent="0.35">
      <c r="A88" s="30" t="s">
        <v>166</v>
      </c>
      <c r="B88" s="40">
        <f>'OECD Asia Oceania 1995'!$J14/IF('OECD Asia Oceania 1995'!$K14=0,1,'OECD Asia Oceania 1995'!$K14)*-1</f>
        <v>8.3791208791208785E-2</v>
      </c>
      <c r="C88" s="40">
        <f>'OECD Asia Oceania 2000'!$J14/IF('OECD Asia Oceania 2000'!$K14=0,1,'OECD Asia Oceania 2000'!$K14)*-1</f>
        <v>0.11590628853267571</v>
      </c>
      <c r="D88" s="40">
        <f>'OECD Asia Oceania 2005'!$J14/IF('OECD Asia Oceania 2005'!$K14=0,1,'OECD Asia Oceania 2005'!$K14)*-1</f>
        <v>8.8392857142857148E-2</v>
      </c>
      <c r="E88" s="40">
        <f>'OECD Asia Oceania 2010'!$J14/IF('OECD Asia Oceania 2010'!$K14=0,1,'OECD Asia Oceania 2010'!$K14)*-1</f>
        <v>8.5418464193270066E-2</v>
      </c>
      <c r="F88" s="40">
        <f>'OECD Asia Oceania 2015'!$J14/IF('OECD Asia Oceania 2015'!$K14=0,1,'OECD Asia Oceania 2015'!$K14)*-1</f>
        <v>8.2771896053897981E-2</v>
      </c>
      <c r="G88" s="40">
        <f>'OECD Asia Oceania 2018'!$J14/IF('OECD Asia Oceania 2018'!$K14=0,1,'OECD Asia Oceania 2018'!$K14)*-1</f>
        <v>7.4201898188093182E-2</v>
      </c>
      <c r="H88" s="77">
        <f t="shared" si="1"/>
        <v>7.4201898188093182E-2</v>
      </c>
      <c r="I88" s="77">
        <f t="shared" si="1"/>
        <v>7.4201898188093182E-2</v>
      </c>
    </row>
    <row r="89" spans="1:9" x14ac:dyDescent="0.35">
      <c r="A89" s="32" t="s">
        <v>167</v>
      </c>
      <c r="B89" s="82"/>
      <c r="C89" s="82"/>
      <c r="D89" s="82"/>
      <c r="E89" s="82"/>
      <c r="F89" s="82"/>
      <c r="G89" s="82"/>
      <c r="H89" s="42">
        <f t="shared" si="1"/>
        <v>0</v>
      </c>
      <c r="I89" s="42">
        <f t="shared" si="1"/>
        <v>0</v>
      </c>
    </row>
    <row r="90" spans="1:9" x14ac:dyDescent="0.35">
      <c r="A90" s="30" t="s">
        <v>168</v>
      </c>
      <c r="B90" s="34">
        <f>'OECD Asia Oceania 1995'!$J13/IF('OECD Asia Oceania 1995'!$K13=0,1,'OECD Asia Oceania 1995'!$K13)</f>
        <v>3.6546489563567364</v>
      </c>
      <c r="C90" s="34">
        <f>'OECD Asia Oceania 2000'!$J13/IF('OECD Asia Oceania 2000'!$K13=0,1,'OECD Asia Oceania 2000'!$K13)</f>
        <v>1.024991989746876</v>
      </c>
      <c r="D90" s="34">
        <f>'OECD Asia Oceania 2005'!$J13/IF('OECD Asia Oceania 2005'!$K13=0,1,'OECD Asia Oceania 2005'!$K13)</f>
        <v>1.0895631067961165</v>
      </c>
      <c r="E90" s="34">
        <f>'OECD Asia Oceania 2010'!$J13/IF('OECD Asia Oceania 2010'!$K13=0,1,'OECD Asia Oceania 2010'!$K13)</f>
        <v>1.2992424242424243</v>
      </c>
      <c r="F90" s="34">
        <f>'OECD Asia Oceania 2015'!$J13/IF('OECD Asia Oceania 2015'!$K13=0,1,'OECD Asia Oceania 2015'!$K13)</f>
        <v>1.2899585444495625</v>
      </c>
      <c r="G90" s="34">
        <f>'OECD Asia Oceania 2018'!$J13/IF('OECD Asia Oceania 2018'!$K13=0,1,'OECD Asia Oceania 2018'!$K13)</f>
        <v>1.5073080481036079</v>
      </c>
      <c r="H90" s="78">
        <f t="shared" si="1"/>
        <v>1.5073080481036079</v>
      </c>
      <c r="I90" s="78">
        <f t="shared" si="1"/>
        <v>1.5073080481036079</v>
      </c>
    </row>
    <row r="91" spans="1:9" x14ac:dyDescent="0.35">
      <c r="A91" s="32" t="s">
        <v>169</v>
      </c>
      <c r="B91" s="82"/>
      <c r="C91" s="82"/>
      <c r="D91" s="82"/>
      <c r="E91" s="82"/>
      <c r="F91" s="82"/>
      <c r="G91" s="82"/>
      <c r="H91" s="33">
        <f t="shared" si="1"/>
        <v>0</v>
      </c>
      <c r="I91" s="33">
        <f t="shared" si="1"/>
        <v>0</v>
      </c>
    </row>
    <row r="92" spans="1:9" x14ac:dyDescent="0.35">
      <c r="A92" s="30" t="s">
        <v>170</v>
      </c>
      <c r="B92" s="40">
        <v>1</v>
      </c>
      <c r="C92" s="40">
        <v>1</v>
      </c>
      <c r="D92" s="40">
        <v>1</v>
      </c>
      <c r="E92" s="40">
        <v>1</v>
      </c>
      <c r="F92" s="40">
        <v>1</v>
      </c>
      <c r="G92" s="40">
        <v>1</v>
      </c>
      <c r="H92" s="77">
        <f t="shared" si="1"/>
        <v>1</v>
      </c>
      <c r="I92" s="77">
        <f t="shared" si="1"/>
        <v>1</v>
      </c>
    </row>
    <row r="93" spans="1:9" x14ac:dyDescent="0.35">
      <c r="A93" s="32" t="s">
        <v>171</v>
      </c>
      <c r="B93" s="82"/>
      <c r="C93" s="82"/>
      <c r="D93" s="82"/>
      <c r="E93" s="82"/>
      <c r="F93" s="82"/>
      <c r="G93" s="82"/>
      <c r="H93" s="42">
        <f t="shared" si="1"/>
        <v>0</v>
      </c>
      <c r="I93" s="42">
        <f t="shared" si="1"/>
        <v>0</v>
      </c>
    </row>
    <row r="94" spans="1:9" x14ac:dyDescent="0.35">
      <c r="A94" s="30" t="s">
        <v>172</v>
      </c>
      <c r="B94" s="40">
        <f>'OECD Asia Oceania 1995'!$G12/'OECD Asia Oceania 1995'!$J12*-1</f>
        <v>9.0913705583756346E-2</v>
      </c>
      <c r="C94" s="40">
        <f>'OECD Asia Oceania 2000'!$G12/'OECD Asia Oceania 2000'!$J12*-1</f>
        <v>8.0646217661827307E-2</v>
      </c>
      <c r="D94" s="40">
        <f>'OECD Asia Oceania 2005'!$G12/'OECD Asia Oceania 2005'!$J12*-1</f>
        <v>6.796071466440462E-2</v>
      </c>
      <c r="E94" s="40">
        <f>'OECD Asia Oceania 2010'!$G12/'OECD Asia Oceania 2010'!$J12*-1</f>
        <v>6.4254259548698803E-2</v>
      </c>
      <c r="F94" s="40">
        <f>'OECD Asia Oceania 2015'!$G12/'OECD Asia Oceania 2015'!$J12*-1</f>
        <v>6.6977086141404241E-2</v>
      </c>
      <c r="G94" s="40">
        <f>'OECD Asia Oceania 2018'!$G12/'OECD Asia Oceania 2018'!$J12*-1</f>
        <v>6.599570226662943E-2</v>
      </c>
      <c r="H94" s="77">
        <f t="shared" si="1"/>
        <v>6.599570226662943E-2</v>
      </c>
      <c r="I94" s="77">
        <f t="shared" si="1"/>
        <v>6.599570226662943E-2</v>
      </c>
    </row>
    <row r="95" spans="1:9" x14ac:dyDescent="0.35">
      <c r="A95" s="30" t="s">
        <v>145</v>
      </c>
      <c r="B95" s="40">
        <f>'OECD Asia Oceania 1995'!$H12/'OECD Asia Oceania 1995'!$J12*-1</f>
        <v>3.3993231810490694E-2</v>
      </c>
      <c r="C95" s="40">
        <f>'OECD Asia Oceania 2000'!$H12/'OECD Asia Oceania 2000'!$J12*-1</f>
        <v>3.3991922279227156E-2</v>
      </c>
      <c r="D95" s="40">
        <f>'OECD Asia Oceania 2005'!$H12/'OECD Asia Oceania 2005'!$J12*-1</f>
        <v>3.2691390096490296E-2</v>
      </c>
      <c r="E95" s="40">
        <f>'OECD Asia Oceania 2010'!$H12/'OECD Asia Oceania 2010'!$J12*-1</f>
        <v>4.2010114756728806E-2</v>
      </c>
      <c r="F95" s="40">
        <f>'OECD Asia Oceania 2015'!$H12/'OECD Asia Oceania 2015'!$J12*-1</f>
        <v>7.764979781889475E-2</v>
      </c>
      <c r="G95" s="40">
        <f>'OECD Asia Oceania 2018'!$H12/'OECD Asia Oceania 2018'!$J12*-1</f>
        <v>0.10085711857616336</v>
      </c>
      <c r="H95" s="77">
        <f t="shared" si="1"/>
        <v>0.10085711857616336</v>
      </c>
      <c r="I95" s="77">
        <f t="shared" si="1"/>
        <v>0.10085711857616336</v>
      </c>
    </row>
    <row r="96" spans="1:9" x14ac:dyDescent="0.35">
      <c r="A96" s="30" t="s">
        <v>173</v>
      </c>
      <c r="B96" s="40">
        <f t="shared" ref="B96:G96" si="2">1-B94-B95</f>
        <v>0.87509306260575292</v>
      </c>
      <c r="C96" s="40">
        <f t="shared" si="2"/>
        <v>0.88536186005894546</v>
      </c>
      <c r="D96" s="40">
        <f t="shared" si="2"/>
        <v>0.89934789523910519</v>
      </c>
      <c r="E96" s="40">
        <f t="shared" si="2"/>
        <v>0.89373562569457243</v>
      </c>
      <c r="F96" s="40">
        <f t="shared" si="2"/>
        <v>0.8553731160397009</v>
      </c>
      <c r="G96" s="40">
        <f t="shared" si="2"/>
        <v>0.83314717915720715</v>
      </c>
      <c r="H96" s="89">
        <f>1-H95-H94</f>
        <v>0.83314717915720726</v>
      </c>
      <c r="I96" s="89">
        <f>1-I95-I94</f>
        <v>0.83314717915720726</v>
      </c>
    </row>
    <row r="97" spans="1:9" x14ac:dyDescent="0.35">
      <c r="A97" s="32" t="s">
        <v>174</v>
      </c>
      <c r="B97" s="82"/>
      <c r="C97" s="82"/>
      <c r="D97" s="82"/>
      <c r="E97" s="82"/>
      <c r="F97" s="82"/>
      <c r="G97" s="82"/>
      <c r="H97" s="42">
        <f t="shared" si="1"/>
        <v>0</v>
      </c>
      <c r="I97" s="42">
        <f t="shared" si="1"/>
        <v>0</v>
      </c>
    </row>
    <row r="98" spans="1:9" x14ac:dyDescent="0.35">
      <c r="A98" s="30" t="s">
        <v>145</v>
      </c>
      <c r="B98" s="40">
        <f>'OECD Asia Oceania 1995'!$H13/IF(('OECD Asia Oceania 1995'!$J13+'OECD Asia Oceania 1995'!$K13)=0,1,('OECD Asia Oceania 1995'!$J13+'OECD Asia Oceania 1995'!$K13))*-1</f>
        <v>3.1390134529147982E-2</v>
      </c>
      <c r="C98" s="40">
        <f>'OECD Asia Oceania 2000'!$H13/IF(('OECD Asia Oceania 2000'!$J13+'OECD Asia Oceania 2000'!$K13)=0,1,('OECD Asia Oceania 2000'!$J13+'OECD Asia Oceania 2000'!$K13))*-1</f>
        <v>1.0759493670886076E-2</v>
      </c>
      <c r="D98" s="40">
        <f>'OECD Asia Oceania 2005'!$H13/IF(('OECD Asia Oceania 2005'!$J13+'OECD Asia Oceania 2005'!$K13)=0,1,('OECD Asia Oceania 2005'!$J13+'OECD Asia Oceania 2005'!$K13))*-1</f>
        <v>1.0338018352886514E-2</v>
      </c>
      <c r="E98" s="40">
        <f>'OECD Asia Oceania 2010'!$H13/IF(('OECD Asia Oceania 2010'!$J13+'OECD Asia Oceania 2010'!$K13)=0,1,('OECD Asia Oceania 2010'!$J13+'OECD Asia Oceania 2010'!$K13))*-1</f>
        <v>7.7979132344865457E-3</v>
      </c>
      <c r="F98" s="40">
        <f>'OECD Asia Oceania 2015'!$H13/IF(('OECD Asia Oceania 2015'!$J13+'OECD Asia Oceania 2015'!$K13)=0,1,('OECD Asia Oceania 2015'!$J13+'OECD Asia Oceania 2015'!$K13))*-1</f>
        <v>7.5429950719098863E-3</v>
      </c>
      <c r="G98" s="40">
        <f>'OECD Asia Oceania 2018'!$H13/IF(('OECD Asia Oceania 2018'!$J13+'OECD Asia Oceania 2018'!$K13)=0,1,('OECD Asia Oceania 2018'!$J13+'OECD Asia Oceania 2018'!$K13))*-1</f>
        <v>5.6080283353010622E-3</v>
      </c>
      <c r="H98" s="77">
        <f t="shared" si="1"/>
        <v>5.6080283353010622E-3</v>
      </c>
      <c r="I98" s="77">
        <f t="shared" si="1"/>
        <v>5.6080283353010622E-3</v>
      </c>
    </row>
    <row r="99" spans="1:9" x14ac:dyDescent="0.35">
      <c r="A99" s="30" t="s">
        <v>173</v>
      </c>
      <c r="B99" s="40">
        <f t="shared" ref="B99:G99" si="3">1-B98</f>
        <v>0.96860986547085204</v>
      </c>
      <c r="C99" s="40">
        <f t="shared" si="3"/>
        <v>0.98924050632911398</v>
      </c>
      <c r="D99" s="40">
        <f t="shared" si="3"/>
        <v>0.9896619816471135</v>
      </c>
      <c r="E99" s="40">
        <f t="shared" si="3"/>
        <v>0.99220208676551347</v>
      </c>
      <c r="F99" s="40">
        <f t="shared" si="3"/>
        <v>0.99245700492809008</v>
      </c>
      <c r="G99" s="40">
        <f t="shared" si="3"/>
        <v>0.99439197166469895</v>
      </c>
      <c r="H99" s="89">
        <f>1-H98</f>
        <v>0.99439197166469895</v>
      </c>
      <c r="I99" s="89">
        <f>1-I98</f>
        <v>0.99439197166469895</v>
      </c>
    </row>
    <row r="100" spans="1:9" x14ac:dyDescent="0.35">
      <c r="A100" s="32" t="s">
        <v>175</v>
      </c>
      <c r="B100" s="82"/>
      <c r="C100" s="82"/>
      <c r="D100" s="82"/>
      <c r="E100" s="82"/>
      <c r="F100" s="82"/>
      <c r="G100" s="82"/>
      <c r="H100" s="42">
        <f t="shared" si="1"/>
        <v>0</v>
      </c>
      <c r="I100" s="42">
        <f t="shared" si="1"/>
        <v>0</v>
      </c>
    </row>
    <row r="101" spans="1:9" x14ac:dyDescent="0.35">
      <c r="A101" s="30" t="s">
        <v>145</v>
      </c>
      <c r="B101" s="40">
        <f>'OECD Asia Oceania 1995'!$H14/IF('OECD Asia Oceania 1995'!$K14=0,1,'OECD Asia Oceania 1995'!$K14)*-1</f>
        <v>0</v>
      </c>
      <c r="C101" s="40">
        <f>'OECD Asia Oceania 2000'!$H14/IF('OECD Asia Oceania 2000'!$K14=0,1,'OECD Asia Oceania 2000'!$K14)*-1</f>
        <v>0</v>
      </c>
      <c r="D101" s="40">
        <f>'OECD Asia Oceania 2005'!$H14/IF('OECD Asia Oceania 2005'!$K14=0,1,'OECD Asia Oceania 2005'!$K14)*-1</f>
        <v>0</v>
      </c>
      <c r="E101" s="40">
        <f>'OECD Asia Oceania 2010'!$H14/IF('OECD Asia Oceania 2010'!$K14=0,1,'OECD Asia Oceania 2010'!$K14)*-1</f>
        <v>0</v>
      </c>
      <c r="F101" s="40">
        <f>'OECD Asia Oceania 2015'!$H14/IF('OECD Asia Oceania 2015'!$K14=0,1,'OECD Asia Oceania 2015'!$K14)*-1</f>
        <v>0</v>
      </c>
      <c r="G101" s="40">
        <f>'OECD Asia Oceania 2018'!$H14/IF('OECD Asia Oceania 2018'!$K14=0,1,'OECD Asia Oceania 2018'!$K14)*-1</f>
        <v>0</v>
      </c>
      <c r="H101" s="77">
        <f t="shared" si="1"/>
        <v>0</v>
      </c>
      <c r="I101" s="77">
        <f t="shared" si="1"/>
        <v>0</v>
      </c>
    </row>
    <row r="102" spans="1:9" x14ac:dyDescent="0.35">
      <c r="A102" s="30" t="s">
        <v>173</v>
      </c>
      <c r="B102" s="40">
        <f t="shared" ref="B102:G102" si="4">1-B101</f>
        <v>1</v>
      </c>
      <c r="C102" s="40">
        <f t="shared" si="4"/>
        <v>1</v>
      </c>
      <c r="D102" s="40">
        <f t="shared" si="4"/>
        <v>1</v>
      </c>
      <c r="E102" s="40">
        <f t="shared" si="4"/>
        <v>1</v>
      </c>
      <c r="F102" s="40">
        <f t="shared" si="4"/>
        <v>1</v>
      </c>
      <c r="G102" s="40">
        <f t="shared" si="4"/>
        <v>1</v>
      </c>
      <c r="H102" s="89">
        <f>1-H101</f>
        <v>1</v>
      </c>
      <c r="I102" s="89">
        <f>1-I101</f>
        <v>1</v>
      </c>
    </row>
    <row r="103" spans="1:9" x14ac:dyDescent="0.35">
      <c r="A103" s="31" t="s">
        <v>176</v>
      </c>
      <c r="B103" s="81"/>
      <c r="C103" s="81"/>
      <c r="D103" s="81"/>
      <c r="E103" s="81"/>
      <c r="F103" s="81"/>
      <c r="G103" s="81"/>
      <c r="H103" s="42">
        <f t="shared" si="1"/>
        <v>0</v>
      </c>
      <c r="I103" s="42">
        <f t="shared" si="1"/>
        <v>0</v>
      </c>
    </row>
    <row r="104" spans="1:9" x14ac:dyDescent="0.35">
      <c r="A104" s="30" t="s">
        <v>177</v>
      </c>
      <c r="B104" s="40">
        <f>('OECD Asia Oceania 1995'!$J12+'OECD Asia Oceania 1995'!$G12+'OECD Asia Oceania 1995'!$H12)/('OECD Asia Oceania 1995'!$B12+'OECD Asia Oceania 1995'!$D12+'OECD Asia Oceania 1995'!$E12+'OECD Asia Oceania 1995'!$F12+'OECD Asia Oceania 1995'!$I12)*-1</f>
        <v>0.39138940286591067</v>
      </c>
      <c r="C104" s="40">
        <f>('OECD Asia Oceania 2000'!$J12+'OECD Asia Oceania 2000'!$G12+'OECD Asia Oceania 2000'!$H12)/('OECD Asia Oceania 2000'!$B12+'OECD Asia Oceania 2000'!$D12+'OECD Asia Oceania 2000'!$E12+'OECD Asia Oceania 2000'!$F12+'OECD Asia Oceania 2000'!$I12)*-1</f>
        <v>0.38071723619977471</v>
      </c>
      <c r="D104" s="40">
        <f>('OECD Asia Oceania 2005'!$J12+'OECD Asia Oceania 2005'!$G12+'OECD Asia Oceania 2005'!$H12)/('OECD Asia Oceania 2005'!$B12+'OECD Asia Oceania 2005'!$D12+'OECD Asia Oceania 2005'!$E12+'OECD Asia Oceania 2005'!$F12+'OECD Asia Oceania 2005'!$I12)*-1</f>
        <v>0.38359866129980552</v>
      </c>
      <c r="E104" s="40">
        <f>('OECD Asia Oceania 2010'!$J12+'OECD Asia Oceania 2010'!$G12+'OECD Asia Oceania 2010'!$H12)/('OECD Asia Oceania 2010'!$B12+'OECD Asia Oceania 2010'!$D12+'OECD Asia Oceania 2010'!$E12+'OECD Asia Oceania 2010'!$F12+'OECD Asia Oceania 2010'!$I12)*-1</f>
        <v>0.38664527607235782</v>
      </c>
      <c r="F104" s="40">
        <f>('OECD Asia Oceania 2015'!$J12+'OECD Asia Oceania 2015'!$G12+'OECD Asia Oceania 2015'!$H12)/('OECD Asia Oceania 2015'!$B12+'OECD Asia Oceania 2015'!$D12+'OECD Asia Oceania 2015'!$E12+'OECD Asia Oceania 2015'!$F12+'OECD Asia Oceania 2015'!$I12)*-1</f>
        <v>0.40950327775089096</v>
      </c>
      <c r="G104" s="40">
        <f>('OECD Asia Oceania 2018'!$J12+'OECD Asia Oceania 2018'!$G12+'OECD Asia Oceania 2018'!$H12)/('OECD Asia Oceania 2018'!$B12+'OECD Asia Oceania 2018'!$D12+'OECD Asia Oceania 2018'!$E12+'OECD Asia Oceania 2018'!$F12+'OECD Asia Oceania 2018'!$I12)*-1</f>
        <v>0.40226556661146851</v>
      </c>
      <c r="H104" s="77">
        <f t="shared" si="1"/>
        <v>0.40226556661146851</v>
      </c>
      <c r="I104" s="77">
        <f t="shared" si="1"/>
        <v>0.40226556661146851</v>
      </c>
    </row>
    <row r="105" spans="1:9" x14ac:dyDescent="0.35">
      <c r="A105" s="30" t="s">
        <v>163</v>
      </c>
      <c r="B105" s="40">
        <f>('OECD Asia Oceania 1995'!$J13+'OECD Asia Oceania 1995'!$K13+'OECD Asia Oceania 1995'!$H13)/IF(('OECD Asia Oceania 1995'!$B13+'OECD Asia Oceania 1995'!$D13+'OECD Asia Oceania 1995'!$E13+'OECD Asia Oceania 1995'!$F13+'OECD Asia Oceania 1995'!$I13)=0,1,('OECD Asia Oceania 1995'!$B13+'OECD Asia Oceania 1995'!$D13+'OECD Asia Oceania 1995'!$E13+'OECD Asia Oceania 1995'!$F13+'OECD Asia Oceania 1995'!$I13))*-1</f>
        <v>0.41560258877033407</v>
      </c>
      <c r="C105" s="40">
        <f>('OECD Asia Oceania 2000'!$J13+'OECD Asia Oceania 2000'!$K13+'OECD Asia Oceania 2000'!$H13)/IF(('OECD Asia Oceania 2000'!$B13+'OECD Asia Oceania 2000'!$D13+'OECD Asia Oceania 2000'!$E13+'OECD Asia Oceania 2000'!$F13+'OECD Asia Oceania 2000'!$I13)=0,1,('OECD Asia Oceania 2000'!$B13+'OECD Asia Oceania 2000'!$D13+'OECD Asia Oceania 2000'!$E13+'OECD Asia Oceania 2000'!$F13+'OECD Asia Oceania 2000'!$I13))*-1</f>
        <v>0.70764006791171474</v>
      </c>
      <c r="D105" s="40">
        <f>('OECD Asia Oceania 2005'!$J13+'OECD Asia Oceania 2005'!$K13+'OECD Asia Oceania 2005'!$H13)/IF(('OECD Asia Oceania 2005'!$B13+'OECD Asia Oceania 2005'!$D13+'OECD Asia Oceania 2005'!$E13+'OECD Asia Oceania 2005'!$F13+'OECD Asia Oceania 2005'!$I13)=0,1,('OECD Asia Oceania 2005'!$B13+'OECD Asia Oceania 2005'!$D13+'OECD Asia Oceania 2005'!$E13+'OECD Asia Oceania 2005'!$F13+'OECD Asia Oceania 2005'!$I13))*-1</f>
        <v>0.59551268609771446</v>
      </c>
      <c r="E105" s="40">
        <f>('OECD Asia Oceania 2010'!$J13+'OECD Asia Oceania 2010'!$K13+'OECD Asia Oceania 2010'!$H13)/IF(('OECD Asia Oceania 2010'!$B13+'OECD Asia Oceania 2010'!$D13+'OECD Asia Oceania 2010'!$E13+'OECD Asia Oceania 2010'!$F13+'OECD Asia Oceania 2010'!$I13)=0,1,('OECD Asia Oceania 2010'!$B13+'OECD Asia Oceania 2010'!$D13+'OECD Asia Oceania 2010'!$E13+'OECD Asia Oceania 2010'!$F13+'OECD Asia Oceania 2010'!$I13))*-1</f>
        <v>0.59512516469038212</v>
      </c>
      <c r="F105" s="40">
        <f>('OECD Asia Oceania 2015'!$J13+'OECD Asia Oceania 2015'!$K13+'OECD Asia Oceania 2015'!$H13)/IF(('OECD Asia Oceania 2015'!$B13+'OECD Asia Oceania 2015'!$D13+'OECD Asia Oceania 2015'!$E13+'OECD Asia Oceania 2015'!$F13+'OECD Asia Oceania 2015'!$I13)=0,1,('OECD Asia Oceania 2015'!$B13+'OECD Asia Oceania 2015'!$D13+'OECD Asia Oceania 2015'!$E13+'OECD Asia Oceania 2015'!$F13+'OECD Asia Oceania 2015'!$I13))*-1</f>
        <v>0.54118679390150271</v>
      </c>
      <c r="G105" s="40">
        <f>('OECD Asia Oceania 2018'!$J13+'OECD Asia Oceania 2018'!$K13+'OECD Asia Oceania 2018'!$H13)/IF(('OECD Asia Oceania 2018'!$B13+'OECD Asia Oceania 2018'!$D13+'OECD Asia Oceania 2018'!$E13+'OECD Asia Oceania 2018'!$F13+'OECD Asia Oceania 2018'!$I13)=0,1,('OECD Asia Oceania 2018'!$B13+'OECD Asia Oceania 2018'!$D13+'OECD Asia Oceania 2018'!$E13+'OECD Asia Oceania 2018'!$F13+'OECD Asia Oceania 2018'!$I13))*-1</f>
        <v>0.60352008598683327</v>
      </c>
      <c r="H105" s="77">
        <f t="shared" si="1"/>
        <v>0.60352008598683327</v>
      </c>
      <c r="I105" s="77">
        <f t="shared" si="1"/>
        <v>0.60352008598683327</v>
      </c>
    </row>
    <row r="106" spans="1:9" x14ac:dyDescent="0.35">
      <c r="A106" s="30" t="s">
        <v>178</v>
      </c>
      <c r="B106" s="40">
        <f>('OECD Asia Oceania 1995'!$K14+'OECD Asia Oceania 1995'!$H14)/IF(('OECD Asia Oceania 1995'!$B14+'OECD Asia Oceania 1995'!$D14+'OECD Asia Oceania 1995'!$E14+'OECD Asia Oceania 1995'!$I14)=0,1,('OECD Asia Oceania 1995'!$B14+'OECD Asia Oceania 1995'!$D14+'OECD Asia Oceania 1995'!$E14+'OECD Asia Oceania 1995'!$I14))*-1</f>
        <v>0.9851150202976996</v>
      </c>
      <c r="C106" s="40">
        <f>('OECD Asia Oceania 2000'!$K14+'OECD Asia Oceania 2000'!$H14)/IF(('OECD Asia Oceania 2000'!$B14+'OECD Asia Oceania 2000'!$D14+'OECD Asia Oceania 2000'!$E14+'OECD Asia Oceania 2000'!$I14)=0,1,('OECD Asia Oceania 2000'!$B14+'OECD Asia Oceania 2000'!$D14+'OECD Asia Oceania 2000'!$E14+'OECD Asia Oceania 2000'!$I14))*-1</f>
        <v>0.91534988713318288</v>
      </c>
      <c r="D106" s="40">
        <f>('OECD Asia Oceania 2005'!$K14+'OECD Asia Oceania 2005'!$H14)/IF(('OECD Asia Oceania 2005'!$B14+'OECD Asia Oceania 2005'!$D14+'OECD Asia Oceania 2005'!$E14+'OECD Asia Oceania 2005'!$I14)=0,1,('OECD Asia Oceania 2005'!$B14+'OECD Asia Oceania 2005'!$D14+'OECD Asia Oceania 2005'!$E14+'OECD Asia Oceania 2005'!$I14))*-1</f>
        <v>0.79040225829216659</v>
      </c>
      <c r="E106" s="40">
        <f>('OECD Asia Oceania 2010'!$K14+'OECD Asia Oceania 2010'!$H14)/IF(('OECD Asia Oceania 2010'!$B14+'OECD Asia Oceania 2010'!$D14+'OECD Asia Oceania 2010'!$E14+'OECD Asia Oceania 2010'!$I14)=0,1,('OECD Asia Oceania 2010'!$B14+'OECD Asia Oceania 2010'!$D14+'OECD Asia Oceania 2010'!$E14+'OECD Asia Oceania 2010'!$I14))*-1</f>
        <v>0.84784198975859548</v>
      </c>
      <c r="F106" s="40">
        <f>('OECD Asia Oceania 2015'!$K14+'OECD Asia Oceania 2015'!$H14)/IF(('OECD Asia Oceania 2015'!$B14+'OECD Asia Oceania 2015'!$D14+'OECD Asia Oceania 2015'!$E14+'OECD Asia Oceania 2015'!$I14)=0,1,('OECD Asia Oceania 2015'!$B14+'OECD Asia Oceania 2015'!$D14+'OECD Asia Oceania 2015'!$E14+'OECD Asia Oceania 2015'!$I14))*-1</f>
        <v>1.0994708994708995</v>
      </c>
      <c r="G106" s="40">
        <f>('OECD Asia Oceania 2018'!$K14+'OECD Asia Oceania 2018'!$H14)/IF(('OECD Asia Oceania 2018'!$B14+'OECD Asia Oceania 2018'!$D14+'OECD Asia Oceania 2018'!$E14+'OECD Asia Oceania 2018'!$I14)=0,1,('OECD Asia Oceania 2018'!$B14+'OECD Asia Oceania 2018'!$D14+'OECD Asia Oceania 2018'!$E14+'OECD Asia Oceania 2018'!$I14))*-1</f>
        <v>0.98554421768707479</v>
      </c>
      <c r="H106" s="77">
        <f t="shared" si="1"/>
        <v>0.98554421768707479</v>
      </c>
      <c r="I106" s="77">
        <f t="shared" si="1"/>
        <v>0.98554421768707479</v>
      </c>
    </row>
    <row r="107" spans="1:9" x14ac:dyDescent="0.35">
      <c r="A107" s="30" t="s">
        <v>170</v>
      </c>
      <c r="B107" s="40">
        <f>'OECD Asia Oceania 1995'!$D16/IF('OECD Asia Oceania 1995'!$C16=0,1,'OECD Asia Oceania 1995'!$C16)*-1</f>
        <v>1.0070615294225751</v>
      </c>
      <c r="C107" s="40">
        <f>'OECD Asia Oceania 2000'!$D16/IF('OECD Asia Oceania 2000'!$C16=0,1,'OECD Asia Oceania 2000'!$C16)*-1</f>
        <v>0.99312563178897428</v>
      </c>
      <c r="D107" s="40">
        <f>'OECD Asia Oceania 2005'!$D16/IF('OECD Asia Oceania 2005'!$C16=0,1,'OECD Asia Oceania 2005'!$C16)*-1</f>
        <v>0.99649828773731752</v>
      </c>
      <c r="E107" s="40">
        <f>'OECD Asia Oceania 2010'!$D16/IF('OECD Asia Oceania 2010'!$C16=0,1,'OECD Asia Oceania 2010'!$C16)*-1</f>
        <v>0.99987465634949158</v>
      </c>
      <c r="F107" s="40">
        <f>'OECD Asia Oceania 2015'!$D16/IF('OECD Asia Oceania 2015'!$C16=0,1,'OECD Asia Oceania 2015'!$C16)*-1</f>
        <v>0.99686892769042079</v>
      </c>
      <c r="G107" s="40">
        <f>'OECD Asia Oceania 2018'!$D16/IF('OECD Asia Oceania 2018'!$C16=0,1,'OECD Asia Oceania 2018'!$C16)*-1</f>
        <v>0.98994011781257873</v>
      </c>
      <c r="H107" s="77">
        <f t="shared" si="1"/>
        <v>0.98994011781257873</v>
      </c>
      <c r="I107" s="77">
        <f t="shared" si="1"/>
        <v>0.98994011781257873</v>
      </c>
    </row>
    <row r="108" spans="1:9" x14ac:dyDescent="0.35">
      <c r="A108" s="32" t="s">
        <v>179</v>
      </c>
      <c r="B108" s="82"/>
      <c r="C108" s="82"/>
      <c r="D108" s="82"/>
      <c r="E108" s="82"/>
      <c r="F108" s="82"/>
      <c r="G108" s="82"/>
      <c r="H108" s="42">
        <f t="shared" si="1"/>
        <v>0</v>
      </c>
      <c r="I108" s="42">
        <f t="shared" si="1"/>
        <v>0</v>
      </c>
    </row>
    <row r="109" spans="1:9" x14ac:dyDescent="0.35">
      <c r="A109" s="30" t="s">
        <v>141</v>
      </c>
      <c r="B109" s="40">
        <f>'OECD Asia Oceania 1995'!$B12/('OECD Asia Oceania 1995'!$L12-'OECD Asia Oceania 1995'!$J12-'OECD Asia Oceania 1995'!$G12-'OECD Asia Oceania 1995'!$H12)</f>
        <v>0.29331374357434459</v>
      </c>
      <c r="C109" s="40">
        <f>'OECD Asia Oceania 2000'!$B12/('OECD Asia Oceania 2000'!$L12-'OECD Asia Oceania 2000'!$J12-'OECD Asia Oceania 2000'!$G12-'OECD Asia Oceania 2000'!$H12)</f>
        <v>0.36391506547546199</v>
      </c>
      <c r="D109" s="40">
        <f>'OECD Asia Oceania 2005'!$B12/('OECD Asia Oceania 2005'!$L12-'OECD Asia Oceania 2005'!$J12-'OECD Asia Oceania 2005'!$G12-'OECD Asia Oceania 2005'!$H12)</f>
        <v>0.40185116643925289</v>
      </c>
      <c r="E109" s="40">
        <f>'OECD Asia Oceania 2010'!$B12/('OECD Asia Oceania 2010'!$L12-'OECD Asia Oceania 2010'!$J12-'OECD Asia Oceania 2010'!$G12-'OECD Asia Oceania 2010'!$H12)</f>
        <v>0.41625335103595973</v>
      </c>
      <c r="F109" s="40">
        <f>'OECD Asia Oceania 2015'!$B12/('OECD Asia Oceania 2015'!$L12-'OECD Asia Oceania 2015'!$J12-'OECD Asia Oceania 2015'!$G12-'OECD Asia Oceania 2015'!$H12)</f>
        <v>0.48376689081752422</v>
      </c>
      <c r="G109" s="40">
        <f>'OECD Asia Oceania 2018'!$B12/('OECD Asia Oceania 2018'!$L12-'OECD Asia Oceania 2018'!$J12-'OECD Asia Oceania 2018'!$G12-'OECD Asia Oceania 2018'!$H12)</f>
        <v>0.48446428937181246</v>
      </c>
      <c r="H109" s="89">
        <f>1-H110-H111-H112-H113-H114</f>
        <v>0.48464277667726857</v>
      </c>
      <c r="I109" s="89">
        <f>1-I110-I111-I112-I113-I114</f>
        <v>0.48464277667726857</v>
      </c>
    </row>
    <row r="110" spans="1:9" x14ac:dyDescent="0.35">
      <c r="A110" s="30" t="s">
        <v>142</v>
      </c>
      <c r="B110" s="40">
        <f>'OECD Asia Oceania 1995'!$C12/('OECD Asia Oceania 1995'!$L12-'OECD Asia Oceania 1995'!$J12-'OECD Asia Oceania 1995'!$G12-'OECD Asia Oceania 1995'!$H12)</f>
        <v>5.513015750452209E-2</v>
      </c>
      <c r="C110" s="40">
        <f>'OECD Asia Oceania 2000'!$C12/('OECD Asia Oceania 2000'!$L12-'OECD Asia Oceania 2000'!$J12-'OECD Asia Oceania 2000'!$G12-'OECD Asia Oceania 2000'!$H12)</f>
        <v>2.215457104393587E-2</v>
      </c>
      <c r="D110" s="40">
        <f>'OECD Asia Oceania 2005'!$C12/('OECD Asia Oceania 2005'!$L12-'OECD Asia Oceania 2005'!$J12-'OECD Asia Oceania 2005'!$G12-'OECD Asia Oceania 2005'!$H12)</f>
        <v>2.2671402765425005E-2</v>
      </c>
      <c r="E110" s="40">
        <f>'OECD Asia Oceania 2010'!$C12/('OECD Asia Oceania 2010'!$L12-'OECD Asia Oceania 2010'!$J12-'OECD Asia Oceania 2010'!$G12-'OECD Asia Oceania 2010'!$H12)</f>
        <v>1.0509662683575727E-2</v>
      </c>
      <c r="F110" s="40">
        <f>'OECD Asia Oceania 2015'!$C12/('OECD Asia Oceania 2015'!$L12-'OECD Asia Oceania 2015'!$J12-'OECD Asia Oceania 2015'!$G12-'OECD Asia Oceania 2015'!$H12)</f>
        <v>1.4168916848319446E-2</v>
      </c>
      <c r="G110" s="40">
        <f>'OECD Asia Oceania 2018'!$C12/('OECD Asia Oceania 2018'!$L12-'OECD Asia Oceania 2018'!$J12-'OECD Asia Oceania 2018'!$G12-'OECD Asia Oceania 2018'!$H12)</f>
        <v>1.4776408074648657E-3</v>
      </c>
      <c r="H110" s="77">
        <f t="shared" si="1"/>
        <v>1.4776408074648657E-3</v>
      </c>
      <c r="I110" s="77">
        <f t="shared" si="1"/>
        <v>1.4776408074648657E-3</v>
      </c>
    </row>
    <row r="111" spans="1:9" x14ac:dyDescent="0.35">
      <c r="A111" s="30" t="s">
        <v>143</v>
      </c>
      <c r="B111" s="40">
        <f>'OECD Asia Oceania 1995'!$D12/('OECD Asia Oceania 1995'!$L12-'OECD Asia Oceania 1995'!$J12-'OECD Asia Oceania 1995'!$G12-'OECD Asia Oceania 1995'!$H12)</f>
        <v>0.14820653611593707</v>
      </c>
      <c r="C111" s="40">
        <f>'OECD Asia Oceania 2000'!$D12/('OECD Asia Oceania 2000'!$L12-'OECD Asia Oceania 2000'!$J12-'OECD Asia Oceania 2000'!$G12-'OECD Asia Oceania 2000'!$H12)</f>
        <v>9.1194468241341323E-2</v>
      </c>
      <c r="D111" s="40">
        <f>'OECD Asia Oceania 2005'!$D12/('OECD Asia Oceania 2005'!$L12-'OECD Asia Oceania 2005'!$J12-'OECD Asia Oceania 2005'!$G12-'OECD Asia Oceania 2005'!$H12)</f>
        <v>7.5419426475381315E-2</v>
      </c>
      <c r="E111" s="40">
        <f>'OECD Asia Oceania 2010'!$D12/('OECD Asia Oceania 2010'!$L12-'OECD Asia Oceania 2010'!$J12-'OECD Asia Oceania 2010'!$G12-'OECD Asia Oceania 2010'!$H12)</f>
        <v>5.2332117549508853E-2</v>
      </c>
      <c r="F111" s="40">
        <f>'OECD Asia Oceania 2015'!$D12/('OECD Asia Oceania 2015'!$L12-'OECD Asia Oceania 2015'!$J12-'OECD Asia Oceania 2015'!$G12-'OECD Asia Oceania 2015'!$H12)</f>
        <v>5.3134160937617449E-2</v>
      </c>
      <c r="G111" s="40">
        <f>'OECD Asia Oceania 2018'!$D12/('OECD Asia Oceania 2018'!$L12-'OECD Asia Oceania 2018'!$J12-'OECD Asia Oceania 2018'!$G12-'OECD Asia Oceania 2018'!$H12)</f>
        <v>3.7663747472649015E-2</v>
      </c>
      <c r="H111" s="77">
        <f t="shared" si="1"/>
        <v>3.7663747472649015E-2</v>
      </c>
      <c r="I111" s="77">
        <f t="shared" si="1"/>
        <v>3.7663747472649015E-2</v>
      </c>
    </row>
    <row r="112" spans="1:9" x14ac:dyDescent="0.35">
      <c r="A112" s="30" t="s">
        <v>241</v>
      </c>
      <c r="B112" s="40">
        <f>'OECD Asia Oceania 1995'!$E12/('OECD Asia Oceania 1995'!$L12-'OECD Asia Oceania 1995'!$J12-'OECD Asia Oceania 1995'!$G12-'OECD Asia Oceania 1995'!$H12)</f>
        <v>0.16164768461917939</v>
      </c>
      <c r="C112" s="40">
        <f>'OECD Asia Oceania 2000'!$E12/('OECD Asia Oceania 2000'!$L12-'OECD Asia Oceania 2000'!$J12-'OECD Asia Oceania 2000'!$G12-'OECD Asia Oceania 2000'!$H12)</f>
        <v>0.1723718027169257</v>
      </c>
      <c r="D112" s="40">
        <f>'OECD Asia Oceania 2005'!$E12/('OECD Asia Oceania 2005'!$L12-'OECD Asia Oceania 2005'!$J12-'OECD Asia Oceania 2005'!$G12-'OECD Asia Oceania 2005'!$H12)</f>
        <v>0.16535374348832457</v>
      </c>
      <c r="E112" s="40">
        <f>'OECD Asia Oceania 2010'!$E12/('OECD Asia Oceania 2010'!$L12-'OECD Asia Oceania 2010'!$J12-'OECD Asia Oceania 2010'!$G12-'OECD Asia Oceania 2010'!$H12)</f>
        <v>0.21536415014675883</v>
      </c>
      <c r="F112" s="40">
        <f>'OECD Asia Oceania 2015'!$E12/('OECD Asia Oceania 2015'!$L12-'OECD Asia Oceania 2015'!$J12-'OECD Asia Oceania 2015'!$G12-'OECD Asia Oceania 2015'!$H12)</f>
        <v>0.29483258070298179</v>
      </c>
      <c r="G112" s="40">
        <f>'OECD Asia Oceania 2018'!$E12/('OECD Asia Oceania 2018'!$L12-'OECD Asia Oceania 2018'!$J12-'OECD Asia Oceania 2018'!$G12-'OECD Asia Oceania 2018'!$H12)</f>
        <v>0.29184430054921423</v>
      </c>
      <c r="H112" s="77">
        <f t="shared" si="1"/>
        <v>0.29184430054921423</v>
      </c>
      <c r="I112" s="77">
        <f t="shared" si="1"/>
        <v>0.29184430054921423</v>
      </c>
    </row>
    <row r="113" spans="1:9" x14ac:dyDescent="0.35">
      <c r="A113" s="30" t="s">
        <v>180</v>
      </c>
      <c r="B113" s="40">
        <f>'OECD Asia Oceania 1995'!$F12/('OECD Asia Oceania 1995'!$L12-'OECD Asia Oceania 1995'!$J12-'OECD Asia Oceania 1995'!$G12-'OECD Asia Oceania 1995'!$H12)</f>
        <v>0.33371940887544776</v>
      </c>
      <c r="C113" s="40">
        <f>'OECD Asia Oceania 2000'!$F12/('OECD Asia Oceania 2000'!$L12-'OECD Asia Oceania 2000'!$J12-'OECD Asia Oceania 2000'!$G12-'OECD Asia Oceania 2000'!$H12)</f>
        <v>0.34360849345245381</v>
      </c>
      <c r="D113" s="40">
        <f>'OECD Asia Oceania 2005'!$F12/('OECD Asia Oceania 2005'!$L12-'OECD Asia Oceania 2005'!$J12-'OECD Asia Oceania 2005'!$G12-'OECD Asia Oceania 2005'!$H12)</f>
        <v>0.32496505930251185</v>
      </c>
      <c r="E113" s="40">
        <f>'OECD Asia Oceania 2010'!$F12/('OECD Asia Oceania 2010'!$L12-'OECD Asia Oceania 2010'!$J12-'OECD Asia Oceania 2010'!$G12-'OECD Asia Oceania 2010'!$H12)</f>
        <v>0.28949644167035471</v>
      </c>
      <c r="F113" s="40">
        <f>'OECD Asia Oceania 2015'!$F12/('OECD Asia Oceania 2015'!$L12-'OECD Asia Oceania 2015'!$J12-'OECD Asia Oceania 2015'!$G12-'OECD Asia Oceania 2015'!$H12)</f>
        <v>0.13122076450283032</v>
      </c>
      <c r="G113" s="40">
        <f>'OECD Asia Oceania 2018'!$F12/('OECD Asia Oceania 2018'!$L12-'OECD Asia Oceania 2018'!$J12-'OECD Asia Oceania 2018'!$G12-'OECD Asia Oceania 2018'!$H12)</f>
        <v>0.1512870105131949</v>
      </c>
      <c r="H113" s="77">
        <f t="shared" si="1"/>
        <v>0.1512870105131949</v>
      </c>
      <c r="I113" s="77">
        <f t="shared" si="1"/>
        <v>0.1512870105131949</v>
      </c>
    </row>
    <row r="114" spans="1:9" x14ac:dyDescent="0.35">
      <c r="A114" s="30" t="s">
        <v>146</v>
      </c>
      <c r="B114" s="40">
        <f>'OECD Asia Oceania 1995'!$I12/('OECD Asia Oceania 1995'!$L12-'OECD Asia Oceania 1995'!$J12-'OECD Asia Oceania 1995'!$G12-'OECD Asia Oceania 1995'!$H12)</f>
        <v>7.8502026896596095E-3</v>
      </c>
      <c r="C114" s="40">
        <f>'OECD Asia Oceania 2000'!$I12/('OECD Asia Oceania 2000'!$L12-'OECD Asia Oceania 2000'!$J12-'OECD Asia Oceania 2000'!$G12-'OECD Asia Oceania 2000'!$H12)</f>
        <v>6.6362746297882755E-3</v>
      </c>
      <c r="D114" s="40">
        <f>'OECD Asia Oceania 2005'!$I12/('OECD Asia Oceania 2005'!$L12-'OECD Asia Oceania 2005'!$J12-'OECD Asia Oceania 2005'!$G12-'OECD Asia Oceania 2005'!$H12)</f>
        <v>9.5789991216488693E-3</v>
      </c>
      <c r="E114" s="40">
        <f>'OECD Asia Oceania 2010'!$I12/('OECD Asia Oceania 2010'!$L12-'OECD Asia Oceania 2010'!$J12-'OECD Asia Oceania 2010'!$G12-'OECD Asia Oceania 2010'!$H12)</f>
        <v>1.5856059334320202E-2</v>
      </c>
      <c r="F114" s="40">
        <f>'OECD Asia Oceania 2015'!$I12/('OECD Asia Oceania 2015'!$L12-'OECD Asia Oceania 2015'!$J12-'OECD Asia Oceania 2015'!$G12-'OECD Asia Oceania 2015'!$H12)</f>
        <v>2.2697442598685162E-2</v>
      </c>
      <c r="G114" s="40">
        <f>'OECD Asia Oceania 2018'!$I12/('OECD Asia Oceania 2018'!$L12-'OECD Asia Oceania 2018'!$J12-'OECD Asia Oceania 2018'!$G12-'OECD Asia Oceania 2018'!$H12)</f>
        <v>3.3084523980208391E-2</v>
      </c>
      <c r="H114" s="77">
        <f t="shared" si="1"/>
        <v>3.3084523980208391E-2</v>
      </c>
      <c r="I114" s="77">
        <f t="shared" si="1"/>
        <v>3.3084523980208391E-2</v>
      </c>
    </row>
    <row r="115" spans="1:9" x14ac:dyDescent="0.35">
      <c r="A115" s="32" t="s">
        <v>181</v>
      </c>
      <c r="B115" s="82"/>
      <c r="C115" s="82"/>
      <c r="D115" s="82"/>
      <c r="E115" s="82"/>
      <c r="F115" s="82"/>
      <c r="G115" s="82"/>
      <c r="H115" s="42">
        <f t="shared" si="1"/>
        <v>0</v>
      </c>
      <c r="I115" s="42">
        <f t="shared" si="1"/>
        <v>0</v>
      </c>
    </row>
    <row r="116" spans="1:9" x14ac:dyDescent="0.35">
      <c r="A116" s="30" t="s">
        <v>141</v>
      </c>
      <c r="B116" s="40">
        <f>'OECD Asia Oceania 1995'!$B13/IF(('OECD Asia Oceania 1995'!$L13-'OECD Asia Oceania 1995'!$J13-'OECD Asia Oceania 1995'!$K13-'OECD Asia Oceania 1995'!$G13-'OECD Asia Oceania 1995'!$H13)=0,1,('OECD Asia Oceania 1995'!$L13-'OECD Asia Oceania 1995'!$J13-'OECD Asia Oceania 1995'!$K13-'OECD Asia Oceania 1995'!$G13-'OECD Asia Oceania 1995'!$H13))</f>
        <v>0.46292409933543199</v>
      </c>
      <c r="C116" s="40">
        <f>'OECD Asia Oceania 2000'!$B13/IF(('OECD Asia Oceania 2000'!$L13-'OECD Asia Oceania 2000'!$J13-'OECD Asia Oceania 2000'!$K13-'OECD Asia Oceania 2000'!$G13-'OECD Asia Oceania 2000'!$H13)=0,1,('OECD Asia Oceania 2000'!$L13-'OECD Asia Oceania 2000'!$J13-'OECD Asia Oceania 2000'!$K13-'OECD Asia Oceania 2000'!$G13-'OECD Asia Oceania 2000'!$H13))</f>
        <v>0.31431805319750988</v>
      </c>
      <c r="D116" s="40">
        <f>'OECD Asia Oceania 2005'!$B13/IF(('OECD Asia Oceania 2005'!$L13-'OECD Asia Oceania 2005'!$J13-'OECD Asia Oceania 2005'!$K13-'OECD Asia Oceania 2005'!$G13-'OECD Asia Oceania 2005'!$H13)=0,1,('OECD Asia Oceania 2005'!$L13-'OECD Asia Oceania 2005'!$J13-'OECD Asia Oceania 2005'!$K13-'OECD Asia Oceania 2005'!$G13-'OECD Asia Oceania 2005'!$H13))</f>
        <v>0.40162158384007829</v>
      </c>
      <c r="E116" s="40">
        <f>'OECD Asia Oceania 2010'!$B13/IF(('OECD Asia Oceania 2010'!$L13-'OECD Asia Oceania 2010'!$J13-'OECD Asia Oceania 2010'!$K13-'OECD Asia Oceania 2010'!$G13-'OECD Asia Oceania 2010'!$H13)=0,1,('OECD Asia Oceania 2010'!$L13-'OECD Asia Oceania 2010'!$J13-'OECD Asia Oceania 2010'!$K13-'OECD Asia Oceania 2010'!$G13-'OECD Asia Oceania 2010'!$H13))</f>
        <v>0.39206903366049667</v>
      </c>
      <c r="F116" s="40">
        <f>'OECD Asia Oceania 2015'!$B13/IF(('OECD Asia Oceania 2015'!$L13-'OECD Asia Oceania 2015'!$J13-'OECD Asia Oceania 2015'!$K13-'OECD Asia Oceania 2015'!$G13-'OECD Asia Oceania 2015'!$H13)=0,1,('OECD Asia Oceania 2015'!$L13-'OECD Asia Oceania 2015'!$J13-'OECD Asia Oceania 2015'!$K13-'OECD Asia Oceania 2015'!$G13-'OECD Asia Oceania 2015'!$H13))</f>
        <v>0.41806515301085884</v>
      </c>
      <c r="G116" s="40">
        <f>'OECD Asia Oceania 2018'!$B13/IF(('OECD Asia Oceania 2018'!$L13-'OECD Asia Oceania 2018'!$J13-'OECD Asia Oceania 2018'!$K13-'OECD Asia Oceania 2018'!$G13-'OECD Asia Oceania 2018'!$H13)=0,1,('OECD Asia Oceania 2018'!$L13-'OECD Asia Oceania 2018'!$J13-'OECD Asia Oceania 2018'!$K13-'OECD Asia Oceania 2018'!$G13-'OECD Asia Oceania 2018'!$H13))</f>
        <v>0.29128039768910385</v>
      </c>
      <c r="H116" s="89">
        <f>1-H117-H118-H119-H120-H121</f>
        <v>0.29128039768910385</v>
      </c>
      <c r="I116" s="89">
        <f>1-I117-I118-I119-I120-I121</f>
        <v>0.29128039768910385</v>
      </c>
    </row>
    <row r="117" spans="1:9" x14ac:dyDescent="0.35">
      <c r="A117" s="30" t="s">
        <v>142</v>
      </c>
      <c r="B117" s="40">
        <f>'OECD Asia Oceania 1995'!$C13/IF(('OECD Asia Oceania 1995'!$L13-'OECD Asia Oceania 1995'!$J13-'OECD Asia Oceania 1995'!$K13-'OECD Asia Oceania 1995'!$G13-'OECD Asia Oceania 1995'!$H13)=0,1,('OECD Asia Oceania 1995'!$L13-'OECD Asia Oceania 1995'!$J13-'OECD Asia Oceania 1995'!$K13-'OECD Asia Oceania 1995'!$G13-'OECD Asia Oceania 1995'!$H13))</f>
        <v>0</v>
      </c>
      <c r="C117" s="40">
        <f>'OECD Asia Oceania 2000'!$C13/IF(('OECD Asia Oceania 2000'!$L13-'OECD Asia Oceania 2000'!$J13-'OECD Asia Oceania 2000'!$K13-'OECD Asia Oceania 2000'!$G13-'OECD Asia Oceania 2000'!$H13)=0,1,('OECD Asia Oceania 2000'!$L13-'OECD Asia Oceania 2000'!$J13-'OECD Asia Oceania 2000'!$K13-'OECD Asia Oceania 2000'!$G13-'OECD Asia Oceania 2000'!$H13))</f>
        <v>0</v>
      </c>
      <c r="D117" s="40">
        <f>'OECD Asia Oceania 2005'!$C13/IF(('OECD Asia Oceania 2005'!$L13-'OECD Asia Oceania 2005'!$J13-'OECD Asia Oceania 2005'!$K13-'OECD Asia Oceania 2005'!$G13-'OECD Asia Oceania 2005'!$H13)=0,1,('OECD Asia Oceania 2005'!$L13-'OECD Asia Oceania 2005'!$J13-'OECD Asia Oceania 2005'!$K13-'OECD Asia Oceania 2005'!$G13-'OECD Asia Oceania 2005'!$H13))</f>
        <v>0</v>
      </c>
      <c r="E117" s="40">
        <f>'OECD Asia Oceania 2010'!$C13/IF(('OECD Asia Oceania 2010'!$L13-'OECD Asia Oceania 2010'!$J13-'OECD Asia Oceania 2010'!$K13-'OECD Asia Oceania 2010'!$G13-'OECD Asia Oceania 2010'!$H13)=0,1,('OECD Asia Oceania 2010'!$L13-'OECD Asia Oceania 2010'!$J13-'OECD Asia Oceania 2010'!$K13-'OECD Asia Oceania 2010'!$G13-'OECD Asia Oceania 2010'!$H13))</f>
        <v>0</v>
      </c>
      <c r="F117" s="40">
        <f>'OECD Asia Oceania 2015'!$C13/IF(('OECD Asia Oceania 2015'!$L13-'OECD Asia Oceania 2015'!$J13-'OECD Asia Oceania 2015'!$K13-'OECD Asia Oceania 2015'!$G13-'OECD Asia Oceania 2015'!$H13)=0,1,('OECD Asia Oceania 2015'!$L13-'OECD Asia Oceania 2015'!$J13-'OECD Asia Oceania 2015'!$K13-'OECD Asia Oceania 2015'!$G13-'OECD Asia Oceania 2015'!$H13))</f>
        <v>0</v>
      </c>
      <c r="G117" s="40">
        <f>'OECD Asia Oceania 2018'!$C13/IF(('OECD Asia Oceania 2018'!$L13-'OECD Asia Oceania 2018'!$J13-'OECD Asia Oceania 2018'!$K13-'OECD Asia Oceania 2018'!$G13-'OECD Asia Oceania 2018'!$H13)=0,1,('OECD Asia Oceania 2018'!$L13-'OECD Asia Oceania 2018'!$J13-'OECD Asia Oceania 2018'!$K13-'OECD Asia Oceania 2018'!$G13-'OECD Asia Oceania 2018'!$H13))</f>
        <v>0</v>
      </c>
      <c r="H117" s="77">
        <f t="shared" si="1"/>
        <v>0</v>
      </c>
      <c r="I117" s="77">
        <f t="shared" si="1"/>
        <v>0</v>
      </c>
    </row>
    <row r="118" spans="1:9" x14ac:dyDescent="0.35">
      <c r="A118" s="30" t="s">
        <v>143</v>
      </c>
      <c r="B118" s="40">
        <f>'OECD Asia Oceania 1995'!$D13/IF('OECD Asia Oceania 1995'!$L13-'OECD Asia Oceania 1995'!$J13-'OECD Asia Oceania 1995'!$K13-'OECD Asia Oceania 1995'!$G13-'OECD Asia Oceania 1995'!$H13=0,1,('OECD Asia Oceania 1995'!$L13-'OECD Asia Oceania 1995'!$J13-'OECD Asia Oceania 1995'!$K13-'OECD Asia Oceania 1995'!$G13-'OECD Asia Oceania 1995'!$H13))</f>
        <v>1.0143406785589367E-2</v>
      </c>
      <c r="C118" s="40">
        <f>'OECD Asia Oceania 2000'!$D13/IF('OECD Asia Oceania 2000'!$L13-'OECD Asia Oceania 2000'!$J13-'OECD Asia Oceania 2000'!$K13-'OECD Asia Oceania 2000'!$G13-'OECD Asia Oceania 2000'!$H13=0,1,('OECD Asia Oceania 2000'!$L13-'OECD Asia Oceania 2000'!$J13-'OECD Asia Oceania 2000'!$K13-'OECD Asia Oceania 2000'!$G13-'OECD Asia Oceania 2000'!$H13))</f>
        <v>0.25772495755517827</v>
      </c>
      <c r="D118" s="40">
        <f>'OECD Asia Oceania 2005'!$D13/IF('OECD Asia Oceania 2005'!$L13-'OECD Asia Oceania 2005'!$J13-'OECD Asia Oceania 2005'!$K13-'OECD Asia Oceania 2005'!$G13-'OECD Asia Oceania 2005'!$H13=0,1,('OECD Asia Oceania 2005'!$L13-'OECD Asia Oceania 2005'!$J13-'OECD Asia Oceania 2005'!$K13-'OECD Asia Oceania 2005'!$G13-'OECD Asia Oceania 2005'!$H13))</f>
        <v>0.14468442021388131</v>
      </c>
      <c r="E118" s="40">
        <f>'OECD Asia Oceania 2010'!$D13/IF('OECD Asia Oceania 2010'!$L13-'OECD Asia Oceania 2010'!$J13-'OECD Asia Oceania 2010'!$K13-'OECD Asia Oceania 2010'!$G13-'OECD Asia Oceania 2010'!$H13=0,1,('OECD Asia Oceania 2010'!$L13-'OECD Asia Oceania 2010'!$J13-'OECD Asia Oceania 2010'!$K13-'OECD Asia Oceania 2010'!$G13-'OECD Asia Oceania 2010'!$H13))</f>
        <v>0.11639549436795996</v>
      </c>
      <c r="F118" s="40">
        <f>'OECD Asia Oceania 2015'!$D13/IF('OECD Asia Oceania 2015'!$L13-'OECD Asia Oceania 2015'!$J13-'OECD Asia Oceania 2015'!$K13-'OECD Asia Oceania 2015'!$G13-'OECD Asia Oceania 2015'!$H13=0,1,('OECD Asia Oceania 2015'!$L13-'OECD Asia Oceania 2015'!$J13-'OECD Asia Oceania 2015'!$K13-'OECD Asia Oceania 2015'!$G13-'OECD Asia Oceania 2015'!$H13))</f>
        <v>0.11039815728858177</v>
      </c>
      <c r="G118" s="40">
        <f>'OECD Asia Oceania 2018'!$D13/IF('OECD Asia Oceania 2018'!$L13-'OECD Asia Oceania 2018'!$J13-'OECD Asia Oceania 2018'!$K13-'OECD Asia Oceania 2018'!$G13-'OECD Asia Oceania 2018'!$H13=0,1,('OECD Asia Oceania 2018'!$L13-'OECD Asia Oceania 2018'!$J13-'OECD Asia Oceania 2018'!$K13-'OECD Asia Oceania 2018'!$G13-'OECD Asia Oceania 2018'!$H13))</f>
        <v>7.407407407407407E-2</v>
      </c>
      <c r="H118" s="77">
        <f t="shared" si="1"/>
        <v>7.407407407407407E-2</v>
      </c>
      <c r="I118" s="77">
        <f t="shared" si="1"/>
        <v>7.407407407407407E-2</v>
      </c>
    </row>
    <row r="119" spans="1:9" x14ac:dyDescent="0.35">
      <c r="A119" s="30" t="s">
        <v>241</v>
      </c>
      <c r="B119" s="40">
        <f>'OECD Asia Oceania 1995'!$E13/IF(('OECD Asia Oceania 1995'!$L13-'OECD Asia Oceania 1995'!$J13-'OECD Asia Oceania 1995'!$K13-'OECD Asia Oceania 1995'!$G13-'OECD Asia Oceania 1995'!$H13)=0,1,('OECD Asia Oceania 1995'!$L13-'OECD Asia Oceania 1995'!$J13-'OECD Asia Oceania 1995'!$K13-'OECD Asia Oceania 1995'!$G13-'OECD Asia Oceania 1995'!$H13))</f>
        <v>0.40066456803077999</v>
      </c>
      <c r="C119" s="40">
        <f>'OECD Asia Oceania 2000'!$E13/IF(('OECD Asia Oceania 2000'!$L13-'OECD Asia Oceania 2000'!$J13-'OECD Asia Oceania 2000'!$K13-'OECD Asia Oceania 2000'!$G13-'OECD Asia Oceania 2000'!$H13)=0,1,('OECD Asia Oceania 2000'!$L13-'OECD Asia Oceania 2000'!$J13-'OECD Asia Oceania 2000'!$K13-'OECD Asia Oceania 2000'!$G13-'OECD Asia Oceania 2000'!$H13))</f>
        <v>0.33344651952461801</v>
      </c>
      <c r="D119" s="40">
        <f>'OECD Asia Oceania 2005'!$E13/IF(('OECD Asia Oceania 2005'!$L13-'OECD Asia Oceania 2005'!$J13-'OECD Asia Oceania 2005'!$K13-'OECD Asia Oceania 2005'!$G13-'OECD Asia Oceania 2005'!$H13)=0,1,('OECD Asia Oceania 2005'!$L13-'OECD Asia Oceania 2005'!$J13-'OECD Asia Oceania 2005'!$K13-'OECD Asia Oceania 2005'!$G13-'OECD Asia Oceania 2005'!$H13))</f>
        <v>0.33025791570559865</v>
      </c>
      <c r="E119" s="40">
        <f>'OECD Asia Oceania 2010'!$E13/IF(('OECD Asia Oceania 2010'!$L13-'OECD Asia Oceania 2010'!$J13-'OECD Asia Oceania 2010'!$K13-'OECD Asia Oceania 2010'!$G13-'OECD Asia Oceania 2010'!$H13)=0,1,('OECD Asia Oceania 2010'!$L13-'OECD Asia Oceania 2010'!$J13-'OECD Asia Oceania 2010'!$K13-'OECD Asia Oceania 2010'!$G13-'OECD Asia Oceania 2010'!$H13))</f>
        <v>0.4344246097095053</v>
      </c>
      <c r="F119" s="40">
        <f>'OECD Asia Oceania 2015'!$E13/IF(('OECD Asia Oceania 2015'!$L13-'OECD Asia Oceania 2015'!$J13-'OECD Asia Oceania 2015'!$K13-'OECD Asia Oceania 2015'!$G13-'OECD Asia Oceania 2015'!$H13)=0,1,('OECD Asia Oceania 2015'!$L13-'OECD Asia Oceania 2015'!$J13-'OECD Asia Oceania 2015'!$K13-'OECD Asia Oceania 2015'!$G13-'OECD Asia Oceania 2015'!$H13))</f>
        <v>0.42371394098936055</v>
      </c>
      <c r="G119" s="40">
        <f>'OECD Asia Oceania 2018'!$E13/IF(('OECD Asia Oceania 2018'!$L13-'OECD Asia Oceania 2018'!$J13-'OECD Asia Oceania 2018'!$K13-'OECD Asia Oceania 2018'!$G13-'OECD Asia Oceania 2018'!$H13)=0,1,('OECD Asia Oceania 2018'!$L13-'OECD Asia Oceania 2018'!$J13-'OECD Asia Oceania 2018'!$K13-'OECD Asia Oceania 2018'!$G13-'OECD Asia Oceania 2018'!$H13))</f>
        <v>0.57346947915267144</v>
      </c>
      <c r="H119" s="77">
        <f t="shared" si="1"/>
        <v>0.57346947915267144</v>
      </c>
      <c r="I119" s="77">
        <f t="shared" si="1"/>
        <v>0.57346947915267144</v>
      </c>
    </row>
    <row r="120" spans="1:9" x14ac:dyDescent="0.35">
      <c r="A120" s="30" t="s">
        <v>180</v>
      </c>
      <c r="B120" s="40">
        <f>'OECD Asia Oceania 1995'!$F13/IF(('OECD Asia Oceania 1995'!$L13-'OECD Asia Oceania 1995'!$J13-'OECD Asia Oceania 1995'!$K13-'OECD Asia Oceania 1995'!$G13-'OECD Asia Oceania 1995'!$H13)=0,1,('OECD Asia Oceania 1995'!$L13-'OECD Asia Oceania 1995'!$J13-'OECD Asia Oceania 1995'!$K13-'OECD Asia Oceania 1995'!$G13-'OECD Asia Oceania 1995'!$H13))</f>
        <v>0</v>
      </c>
      <c r="C120" s="40">
        <f>'OECD Asia Oceania 2000'!$F13/IF(('OECD Asia Oceania 2000'!$L13-'OECD Asia Oceania 2000'!$J13-'OECD Asia Oceania 2000'!$K13-'OECD Asia Oceania 2000'!$G13-'OECD Asia Oceania 2000'!$H13)=0,1,('OECD Asia Oceania 2000'!$L13-'OECD Asia Oceania 2000'!$J13-'OECD Asia Oceania 2000'!$K13-'OECD Asia Oceania 2000'!$G13-'OECD Asia Oceania 2000'!$H13))</f>
        <v>0</v>
      </c>
      <c r="D120" s="40">
        <f>'OECD Asia Oceania 2005'!$F13/IF(('OECD Asia Oceania 2005'!$L13-'OECD Asia Oceania 2005'!$J13-'OECD Asia Oceania 2005'!$K13-'OECD Asia Oceania 2005'!$G13-'OECD Asia Oceania 2005'!$H13)=0,1,('OECD Asia Oceania 2005'!$L13-'OECD Asia Oceania 2005'!$J13-'OECD Asia Oceania 2005'!$K13-'OECD Asia Oceania 2005'!$G13-'OECD Asia Oceania 2005'!$H13))</f>
        <v>0</v>
      </c>
      <c r="E120" s="40">
        <f>'OECD Asia Oceania 2010'!$F13/IF(('OECD Asia Oceania 2010'!$L13-'OECD Asia Oceania 2010'!$J13-'OECD Asia Oceania 2010'!$K13-'OECD Asia Oceania 2010'!$G13-'OECD Asia Oceania 2010'!$H13)=0,1,('OECD Asia Oceania 2010'!$L13-'OECD Asia Oceania 2010'!$J13-'OECD Asia Oceania 2010'!$K13-'OECD Asia Oceania 2010'!$G13-'OECD Asia Oceania 2010'!$H13))</f>
        <v>0</v>
      </c>
      <c r="F120" s="40">
        <f>'OECD Asia Oceania 2015'!$F13/IF(('OECD Asia Oceania 2015'!$L13-'OECD Asia Oceania 2015'!$J13-'OECD Asia Oceania 2015'!$K13-'OECD Asia Oceania 2015'!$G13-'OECD Asia Oceania 2015'!$H13)=0,1,('OECD Asia Oceania 2015'!$L13-'OECD Asia Oceania 2015'!$J13-'OECD Asia Oceania 2015'!$K13-'OECD Asia Oceania 2015'!$G13-'OECD Asia Oceania 2015'!$H13))</f>
        <v>0</v>
      </c>
      <c r="G120" s="40">
        <f>'OECD Asia Oceania 2018'!$F13/IF(('OECD Asia Oceania 2018'!$L13-'OECD Asia Oceania 2018'!$J13-'OECD Asia Oceania 2018'!$K13-'OECD Asia Oceania 2018'!$G13-'OECD Asia Oceania 2018'!$H13)=0,1,('OECD Asia Oceania 2018'!$L13-'OECD Asia Oceania 2018'!$J13-'OECD Asia Oceania 2018'!$K13-'OECD Asia Oceania 2018'!$G13-'OECD Asia Oceania 2018'!$H13))</f>
        <v>0</v>
      </c>
      <c r="H120" s="77">
        <f t="shared" si="1"/>
        <v>0</v>
      </c>
      <c r="I120" s="77">
        <f t="shared" si="1"/>
        <v>0</v>
      </c>
    </row>
    <row r="121" spans="1:9" x14ac:dyDescent="0.35">
      <c r="A121" s="30" t="s">
        <v>146</v>
      </c>
      <c r="B121" s="40">
        <f>'OECD Asia Oceania 1995'!$I13/IF(('OECD Asia Oceania 1995'!$L13-'OECD Asia Oceania 1995'!$J13-'OECD Asia Oceania 1995'!$K13-'OECD Asia Oceania 1995'!$G13-'OECD Asia Oceania 1995'!$H13)=0,1,('OECD Asia Oceania 1995'!$L13-'OECD Asia Oceania 1995'!$J13-'OECD Asia Oceania 1995'!$K13-'OECD Asia Oceania 1995'!$G13-'OECD Asia Oceania 1995'!$H13))</f>
        <v>0.1260930395243092</v>
      </c>
      <c r="C121" s="40">
        <f>'OECD Asia Oceania 2000'!$I13/IF(('OECD Asia Oceania 2000'!$L13-'OECD Asia Oceania 2000'!$J13-'OECD Asia Oceania 2000'!$K13-'OECD Asia Oceania 2000'!$G13-'OECD Asia Oceania 2000'!$H13)=0,1,('OECD Asia Oceania 2000'!$L13-'OECD Asia Oceania 2000'!$J13-'OECD Asia Oceania 2000'!$K13-'OECD Asia Oceania 2000'!$G13-'OECD Asia Oceania 2000'!$H13))</f>
        <v>9.4510469722693835E-2</v>
      </c>
      <c r="D121" s="40">
        <f>'OECD Asia Oceania 2005'!$I13/IF(('OECD Asia Oceania 2005'!$L13-'OECD Asia Oceania 2005'!$J13-'OECD Asia Oceania 2005'!$K13-'OECD Asia Oceania 2005'!$G13-'OECD Asia Oceania 2005'!$H13)=0,1,('OECD Asia Oceania 2005'!$L13-'OECD Asia Oceania 2005'!$J13-'OECD Asia Oceania 2005'!$K13-'OECD Asia Oceania 2005'!$G13-'OECD Asia Oceania 2005'!$H13))</f>
        <v>0.12343608024044174</v>
      </c>
      <c r="E121" s="40">
        <f>'OECD Asia Oceania 2010'!$I13/IF(('OECD Asia Oceania 2010'!$L13-'OECD Asia Oceania 2010'!$J13-'OECD Asia Oceania 2010'!$K13-'OECD Asia Oceania 2010'!$G13-'OECD Asia Oceania 2010'!$H13)=0,1,('OECD Asia Oceania 2010'!$L13-'OECD Asia Oceania 2010'!$J13-'OECD Asia Oceania 2010'!$K13-'OECD Asia Oceania 2010'!$G13-'OECD Asia Oceania 2010'!$H13))</f>
        <v>5.7044990448587046E-2</v>
      </c>
      <c r="F121" s="40">
        <f>'OECD Asia Oceania 2015'!$I13/IF(('OECD Asia Oceania 2015'!$L13-'OECD Asia Oceania 2015'!$J13-'OECD Asia Oceania 2015'!$K13-'OECD Asia Oceania 2015'!$G13-'OECD Asia Oceania 2015'!$H13)=0,1,('OECD Asia Oceania 2015'!$L13-'OECD Asia Oceania 2015'!$J13-'OECD Asia Oceania 2015'!$K13-'OECD Asia Oceania 2015'!$G13-'OECD Asia Oceania 2015'!$H13))</f>
        <v>4.7822748711198862E-2</v>
      </c>
      <c r="G121" s="40">
        <f>'OECD Asia Oceania 2018'!$I13/IF(('OECD Asia Oceania 2018'!$L13-'OECD Asia Oceania 2018'!$J13-'OECD Asia Oceania 2018'!$K13-'OECD Asia Oceania 2018'!$G13-'OECD Asia Oceania 2018'!$H13)=0,1,('OECD Asia Oceania 2018'!$L13-'OECD Asia Oceania 2018'!$J13-'OECD Asia Oceania 2018'!$K13-'OECD Asia Oceania 2018'!$G13-'OECD Asia Oceania 2018'!$H13))</f>
        <v>6.1176049084150655E-2</v>
      </c>
      <c r="H121" s="77">
        <f t="shared" si="1"/>
        <v>6.1176049084150655E-2</v>
      </c>
      <c r="I121" s="77">
        <f t="shared" si="1"/>
        <v>6.1176049084150655E-2</v>
      </c>
    </row>
    <row r="122" spans="1:9" x14ac:dyDescent="0.35">
      <c r="A122" s="32" t="s">
        <v>182</v>
      </c>
      <c r="B122" s="82"/>
      <c r="C122" s="82"/>
      <c r="D122" s="82"/>
      <c r="E122" s="82"/>
      <c r="F122" s="82"/>
      <c r="G122" s="82"/>
      <c r="H122" s="42">
        <f t="shared" si="1"/>
        <v>0</v>
      </c>
      <c r="I122" s="42">
        <f t="shared" si="1"/>
        <v>0</v>
      </c>
    </row>
    <row r="123" spans="1:9" x14ac:dyDescent="0.35">
      <c r="A123" s="30" t="s">
        <v>141</v>
      </c>
      <c r="B123" s="40">
        <f>'OECD Asia Oceania 1995'!$B14/IF(('OECD Asia Oceania 1995'!$L14-'OECD Asia Oceania 1995'!$J14-'OECD Asia Oceania 1995'!$K14-'OECD Asia Oceania 1995'!$G14-'OECD Asia Oceania 1995'!$H14)=0,1,('OECD Asia Oceania 1995'!$L14-'OECD Asia Oceania 1995'!$J14-'OECD Asia Oceania 1995'!$K14-'OECD Asia Oceania 1995'!$G14-'OECD Asia Oceania 1995'!$H14))</f>
        <v>2.032520325203252E-2</v>
      </c>
      <c r="C123" s="40">
        <f>'OECD Asia Oceania 2000'!$B14/IF(('OECD Asia Oceania 2000'!$L14-'OECD Asia Oceania 2000'!$J14-'OECD Asia Oceania 2000'!$K14-'OECD Asia Oceania 2000'!$G14-'OECD Asia Oceania 2000'!$H14)=0,1,('OECD Asia Oceania 2000'!$L14-'OECD Asia Oceania 2000'!$J14-'OECD Asia Oceania 2000'!$K14-'OECD Asia Oceania 2000'!$G14-'OECD Asia Oceania 2000'!$H14))</f>
        <v>1.8058690744920992E-2</v>
      </c>
      <c r="D123" s="40">
        <f>'OECD Asia Oceania 2005'!$B14/IF(('OECD Asia Oceania 2005'!$L14-'OECD Asia Oceania 2005'!$J14-'OECD Asia Oceania 2005'!$K14-'OECD Asia Oceania 2005'!$G14-'OECD Asia Oceania 2005'!$H14)=0,1,('OECD Asia Oceania 2005'!$L14-'OECD Asia Oceania 2005'!$J14-'OECD Asia Oceania 2005'!$K14-'OECD Asia Oceania 2005'!$G14-'OECD Asia Oceania 2005'!$H14))</f>
        <v>1.059322033898305E-2</v>
      </c>
      <c r="E123" s="40">
        <f>'OECD Asia Oceania 2010'!$B14/IF(('OECD Asia Oceania 2010'!$L14-'OECD Asia Oceania 2010'!$J14-'OECD Asia Oceania 2010'!$K14-'OECD Asia Oceania 2010'!$G14-'OECD Asia Oceania 2010'!$H14)=0,1,('OECD Asia Oceania 2010'!$L14-'OECD Asia Oceania 2010'!$J14-'OECD Asia Oceania 2010'!$K14-'OECD Asia Oceania 2010'!$G14-'OECD Asia Oceania 2010'!$H14))</f>
        <v>0</v>
      </c>
      <c r="F123" s="40">
        <f>'OECD Asia Oceania 2015'!$B14/IF(('OECD Asia Oceania 2015'!$L14-'OECD Asia Oceania 2015'!$J14-'OECD Asia Oceania 2015'!$K14-'OECD Asia Oceania 2015'!$G14-'OECD Asia Oceania 2015'!$H14)=0,1,('OECD Asia Oceania 2015'!$L14-'OECD Asia Oceania 2015'!$J14-'OECD Asia Oceania 2015'!$K14-'OECD Asia Oceania 2015'!$G14-'OECD Asia Oceania 2015'!$H14))</f>
        <v>0</v>
      </c>
      <c r="G123" s="40">
        <f>'OECD Asia Oceania 2018'!$B14/IF(('OECD Asia Oceania 2018'!$L14-'OECD Asia Oceania 2018'!$J14-'OECD Asia Oceania 2018'!$K14-'OECD Asia Oceania 2018'!$G14-'OECD Asia Oceania 2018'!$H14)=0,1,('OECD Asia Oceania 2018'!$L14-'OECD Asia Oceania 2018'!$J14-'OECD Asia Oceania 2018'!$K14-'OECD Asia Oceania 2018'!$G14-'OECD Asia Oceania 2018'!$H14))</f>
        <v>0</v>
      </c>
      <c r="H123" s="77">
        <f t="shared" si="1"/>
        <v>0</v>
      </c>
      <c r="I123" s="77">
        <f t="shared" si="1"/>
        <v>0</v>
      </c>
    </row>
    <row r="124" spans="1:9" x14ac:dyDescent="0.35">
      <c r="A124" s="30" t="s">
        <v>142</v>
      </c>
      <c r="B124" s="40">
        <f>'OECD Asia Oceania 1995'!$C14/IF(('OECD Asia Oceania 1995'!$L14-'OECD Asia Oceania 1995'!$J14-'OECD Asia Oceania 1995'!$K14-'OECD Asia Oceania 1995'!$G14-'OECD Asia Oceania 1995'!$H14)=0,1,('OECD Asia Oceania 1995'!$L14-'OECD Asia Oceania 1995'!$J14-'OECD Asia Oceania 1995'!$K14-'OECD Asia Oceania 1995'!$G14-'OECD Asia Oceania 1995'!$H14))</f>
        <v>0</v>
      </c>
      <c r="C124" s="40">
        <f>'OECD Asia Oceania 2000'!$C14/IF(('OECD Asia Oceania 2000'!$L14-'OECD Asia Oceania 2000'!$J14-'OECD Asia Oceania 2000'!$K14-'OECD Asia Oceania 2000'!$G14-'OECD Asia Oceania 2000'!$H14)=0,1,('OECD Asia Oceania 2000'!$L14-'OECD Asia Oceania 2000'!$J14-'OECD Asia Oceania 2000'!$K14-'OECD Asia Oceania 2000'!$G14-'OECD Asia Oceania 2000'!$H14))</f>
        <v>0</v>
      </c>
      <c r="D124" s="40">
        <f>'OECD Asia Oceania 2005'!$C14/IF(('OECD Asia Oceania 2005'!$L14-'OECD Asia Oceania 2005'!$J14-'OECD Asia Oceania 2005'!$K14-'OECD Asia Oceania 2005'!$G14-'OECD Asia Oceania 2005'!$H14)=0,1,('OECD Asia Oceania 2005'!$L14-'OECD Asia Oceania 2005'!$J14-'OECD Asia Oceania 2005'!$K14-'OECD Asia Oceania 2005'!$G14-'OECD Asia Oceania 2005'!$H14))</f>
        <v>0</v>
      </c>
      <c r="E124" s="40">
        <f>'OECD Asia Oceania 2010'!$C14/IF(('OECD Asia Oceania 2010'!$L14-'OECD Asia Oceania 2010'!$J14-'OECD Asia Oceania 2010'!$K14-'OECD Asia Oceania 2010'!$G14-'OECD Asia Oceania 2010'!$H14)=0,1,('OECD Asia Oceania 2010'!$L14-'OECD Asia Oceania 2010'!$J14-'OECD Asia Oceania 2010'!$K14-'OECD Asia Oceania 2010'!$G14-'OECD Asia Oceania 2010'!$H14))</f>
        <v>0</v>
      </c>
      <c r="F124" s="40">
        <f>'OECD Asia Oceania 2015'!$C14/IF(('OECD Asia Oceania 2015'!$L14-'OECD Asia Oceania 2015'!$J14-'OECD Asia Oceania 2015'!$K14-'OECD Asia Oceania 2015'!$G14-'OECD Asia Oceania 2015'!$H14)=0,1,('OECD Asia Oceania 2015'!$L14-'OECD Asia Oceania 2015'!$J14-'OECD Asia Oceania 2015'!$K14-'OECD Asia Oceania 2015'!$G14-'OECD Asia Oceania 2015'!$H14))</f>
        <v>0</v>
      </c>
      <c r="G124" s="40">
        <f>'OECD Asia Oceania 2018'!$C14/IF(('OECD Asia Oceania 2018'!$L14-'OECD Asia Oceania 2018'!$J14-'OECD Asia Oceania 2018'!$K14-'OECD Asia Oceania 2018'!$G14-'OECD Asia Oceania 2018'!$H14)=0,1,('OECD Asia Oceania 2018'!$L14-'OECD Asia Oceania 2018'!$J14-'OECD Asia Oceania 2018'!$K14-'OECD Asia Oceania 2018'!$G14-'OECD Asia Oceania 2018'!$H14))</f>
        <v>0</v>
      </c>
      <c r="H124" s="77">
        <f t="shared" si="1"/>
        <v>0</v>
      </c>
      <c r="I124" s="77">
        <f t="shared" si="1"/>
        <v>0</v>
      </c>
    </row>
    <row r="125" spans="1:9" x14ac:dyDescent="0.35">
      <c r="A125" s="30" t="s">
        <v>143</v>
      </c>
      <c r="B125" s="40">
        <f>'OECD Asia Oceania 1995'!$D14/IF(('OECD Asia Oceania 1995'!$L14-'OECD Asia Oceania 1995'!$J14-'OECD Asia Oceania 1995'!$K14-'OECD Asia Oceania 1995'!$G14-'OECD Asia Oceania 1995'!$H14)=0,1,('OECD Asia Oceania 1995'!$L14-'OECD Asia Oceania 1995'!$J14-'OECD Asia Oceania 1995'!$K14-'OECD Asia Oceania 1995'!$G14-'OECD Asia Oceania 1995'!$H14))</f>
        <v>0.63279132791327908</v>
      </c>
      <c r="C125" s="40">
        <f>'OECD Asia Oceania 2000'!$D14/IF(('OECD Asia Oceania 2000'!$L14-'OECD Asia Oceania 2000'!$J14-'OECD Asia Oceania 2000'!$K14-'OECD Asia Oceania 2000'!$G14-'OECD Asia Oceania 2000'!$H14)=0,1,('OECD Asia Oceania 2000'!$L14-'OECD Asia Oceania 2000'!$J14-'OECD Asia Oceania 2000'!$K14-'OECD Asia Oceania 2000'!$G14-'OECD Asia Oceania 2000'!$H14))</f>
        <v>0.51241534988713322</v>
      </c>
      <c r="D125" s="40">
        <f>'OECD Asia Oceania 2005'!$D14/IF(('OECD Asia Oceania 2005'!$L14-'OECD Asia Oceania 2005'!$J14-'OECD Asia Oceania 2005'!$K14-'OECD Asia Oceania 2005'!$G14-'OECD Asia Oceania 2005'!$H14)=0,1,('OECD Asia Oceania 2005'!$L14-'OECD Asia Oceania 2005'!$J14-'OECD Asia Oceania 2005'!$K14-'OECD Asia Oceania 2005'!$G14-'OECD Asia Oceania 2005'!$H14))</f>
        <v>0.49293785310734461</v>
      </c>
      <c r="E125" s="40">
        <f>'OECD Asia Oceania 2010'!$D14/IF(('OECD Asia Oceania 2010'!$L14-'OECD Asia Oceania 2010'!$J14-'OECD Asia Oceania 2010'!$K14-'OECD Asia Oceania 2010'!$G14-'OECD Asia Oceania 2010'!$H14)=0,1,('OECD Asia Oceania 2010'!$L14-'OECD Asia Oceania 2010'!$J14-'OECD Asia Oceania 2010'!$K14-'OECD Asia Oceania 2010'!$G14-'OECD Asia Oceania 2010'!$H14))</f>
        <v>0.2814327485380117</v>
      </c>
      <c r="F125" s="40">
        <f>'OECD Asia Oceania 2015'!$D14/IF(('OECD Asia Oceania 2015'!$L14-'OECD Asia Oceania 2015'!$J14-'OECD Asia Oceania 2015'!$K14-'OECD Asia Oceania 2015'!$G14-'OECD Asia Oceania 2015'!$H14)=0,1,('OECD Asia Oceania 2015'!$L14-'OECD Asia Oceania 2015'!$J14-'OECD Asia Oceania 2015'!$K14-'OECD Asia Oceania 2015'!$G14-'OECD Asia Oceania 2015'!$H14))</f>
        <v>0.1291005291005291</v>
      </c>
      <c r="G125" s="40">
        <f>'OECD Asia Oceania 2018'!$D14/IF(('OECD Asia Oceania 2018'!$L14-'OECD Asia Oceania 2018'!$J14-'OECD Asia Oceania 2018'!$K14-'OECD Asia Oceania 2018'!$G14-'OECD Asia Oceania 2018'!$H14)=0,1,('OECD Asia Oceania 2018'!$L14-'OECD Asia Oceania 2018'!$J14-'OECD Asia Oceania 2018'!$K14-'OECD Asia Oceania 2018'!$G14-'OECD Asia Oceania 2018'!$H14))</f>
        <v>0.19047619047619047</v>
      </c>
      <c r="H125" s="77">
        <f t="shared" si="1"/>
        <v>0.19047619047619047</v>
      </c>
      <c r="I125" s="77">
        <f t="shared" si="1"/>
        <v>0.19047619047619047</v>
      </c>
    </row>
    <row r="126" spans="1:9" x14ac:dyDescent="0.35">
      <c r="A126" s="30" t="s">
        <v>241</v>
      </c>
      <c r="B126" s="40">
        <f>'OECD Asia Oceania 1995'!$E14/IF(('OECD Asia Oceania 1995'!$L14-'OECD Asia Oceania 1995'!$J14-'OECD Asia Oceania 1995'!$K14-'OECD Asia Oceania 1995'!$G14-'OECD Asia Oceania 1995'!$H14)=0,1,('OECD Asia Oceania 1995'!$L14-'OECD Asia Oceania 1995'!$J14-'OECD Asia Oceania 1995'!$K14-'OECD Asia Oceania 1995'!$G14-'OECD Asia Oceania 1995'!$H14))</f>
        <v>0.32384823848238481</v>
      </c>
      <c r="C126" s="40">
        <f>'OECD Asia Oceania 2000'!$E14/IF(('OECD Asia Oceania 2000'!$L14-'OECD Asia Oceania 2000'!$J14-'OECD Asia Oceania 2000'!$K14-'OECD Asia Oceania 2000'!$G14-'OECD Asia Oceania 2000'!$H14)=0,1,('OECD Asia Oceania 2000'!$L14-'OECD Asia Oceania 2000'!$J14-'OECD Asia Oceania 2000'!$K14-'OECD Asia Oceania 2000'!$G14-'OECD Asia Oceania 2000'!$H14))</f>
        <v>0.35214446952595935</v>
      </c>
      <c r="D126" s="40">
        <f>'OECD Asia Oceania 2005'!$E14/IF(('OECD Asia Oceania 2005'!$L14-'OECD Asia Oceania 2005'!$J14-'OECD Asia Oceania 2005'!$K14-'OECD Asia Oceania 2005'!$G14-'OECD Asia Oceania 2005'!$H14)=0,1,('OECD Asia Oceania 2005'!$L14-'OECD Asia Oceania 2005'!$J14-'OECD Asia Oceania 2005'!$K14-'OECD Asia Oceania 2005'!$G14-'OECD Asia Oceania 2005'!$H14))</f>
        <v>0.35875706214689268</v>
      </c>
      <c r="E126" s="40">
        <f>'OECD Asia Oceania 2010'!$E14/IF(('OECD Asia Oceania 2010'!$L14-'OECD Asia Oceania 2010'!$J14-'OECD Asia Oceania 2010'!$K14-'OECD Asia Oceania 2010'!$G14-'OECD Asia Oceania 2010'!$H14)=0,1,('OECD Asia Oceania 2010'!$L14-'OECD Asia Oceania 2010'!$J14-'OECD Asia Oceania 2010'!$K14-'OECD Asia Oceania 2010'!$G14-'OECD Asia Oceania 2010'!$H14))</f>
        <v>0.36403508771929827</v>
      </c>
      <c r="F126" s="40">
        <f>'OECD Asia Oceania 2015'!$E14/IF(('OECD Asia Oceania 2015'!$L14-'OECD Asia Oceania 2015'!$J14-'OECD Asia Oceania 2015'!$K14-'OECD Asia Oceania 2015'!$G14-'OECD Asia Oceania 2015'!$H14)=0,1,('OECD Asia Oceania 2015'!$L14-'OECD Asia Oceania 2015'!$J14-'OECD Asia Oceania 2015'!$K14-'OECD Asia Oceania 2015'!$G14-'OECD Asia Oceania 2015'!$H14))</f>
        <v>0.36931216931216931</v>
      </c>
      <c r="G126" s="40">
        <f>'OECD Asia Oceania 2018'!$E14/IF(('OECD Asia Oceania 2018'!$L14-'OECD Asia Oceania 2018'!$J14-'OECD Asia Oceania 2018'!$K14-'OECD Asia Oceania 2018'!$G14-'OECD Asia Oceania 2018'!$H14)=0,1,('OECD Asia Oceania 2018'!$L14-'OECD Asia Oceania 2018'!$J14-'OECD Asia Oceania 2018'!$K14-'OECD Asia Oceania 2018'!$G14-'OECD Asia Oceania 2018'!$H14))</f>
        <v>0.33673469387755101</v>
      </c>
      <c r="H126" s="89">
        <f>1-H123-H124-H125-H127-H128</f>
        <v>0.33673469387755101</v>
      </c>
      <c r="I126" s="89">
        <f>1-I123-I124-I125-I127-I128</f>
        <v>0.33673469387755101</v>
      </c>
    </row>
    <row r="127" spans="1:9" x14ac:dyDescent="0.35">
      <c r="A127" s="30" t="s">
        <v>180</v>
      </c>
      <c r="B127" s="40">
        <f>'OECD Asia Oceania 1995'!$F14/IF(('OECD Asia Oceania 1995'!$L14-'OECD Asia Oceania 1995'!$J14-'OECD Asia Oceania 1995'!$K14-'OECD Asia Oceania 1995'!$G14-'OECD Asia Oceania 1995'!$H14)=0,1,('OECD Asia Oceania 1995'!$L14-'OECD Asia Oceania 1995'!$J14-'OECD Asia Oceania 1995'!$K14-'OECD Asia Oceania 1995'!$G14-'OECD Asia Oceania 1995'!$H14))</f>
        <v>0</v>
      </c>
      <c r="C127" s="40">
        <f>'OECD Asia Oceania 2000'!$F14/IF(('OECD Asia Oceania 2000'!$L14-'OECD Asia Oceania 2000'!$J14-'OECD Asia Oceania 2000'!$K14-'OECD Asia Oceania 2000'!$G14-'OECD Asia Oceania 2000'!$H14)=0,1,('OECD Asia Oceania 2000'!$L14-'OECD Asia Oceania 2000'!$J14-'OECD Asia Oceania 2000'!$K14-'OECD Asia Oceania 2000'!$G14-'OECD Asia Oceania 2000'!$H14))</f>
        <v>0</v>
      </c>
      <c r="D127" s="40">
        <f>'OECD Asia Oceania 2005'!$F14/IF(('OECD Asia Oceania 2005'!$L14-'OECD Asia Oceania 2005'!$J14-'OECD Asia Oceania 2005'!$K14-'OECD Asia Oceania 2005'!$G14-'OECD Asia Oceania 2005'!$H14)=0,1,('OECD Asia Oceania 2005'!$L14-'OECD Asia Oceania 2005'!$J14-'OECD Asia Oceania 2005'!$K14-'OECD Asia Oceania 2005'!$G14-'OECD Asia Oceania 2005'!$H14))</f>
        <v>0</v>
      </c>
      <c r="E127" s="40">
        <f>'OECD Asia Oceania 2010'!$F14/IF(('OECD Asia Oceania 2010'!$L14-'OECD Asia Oceania 2010'!$J14-'OECD Asia Oceania 2010'!$K14-'OECD Asia Oceania 2010'!$G14-'OECD Asia Oceania 2010'!$H14)=0,1,('OECD Asia Oceania 2010'!$L14-'OECD Asia Oceania 2010'!$J14-'OECD Asia Oceania 2010'!$K14-'OECD Asia Oceania 2010'!$G14-'OECD Asia Oceania 2010'!$H14))</f>
        <v>0</v>
      </c>
      <c r="F127" s="40">
        <f>'OECD Asia Oceania 2015'!$F14/IF(('OECD Asia Oceania 2015'!$L14-'OECD Asia Oceania 2015'!$J14-'OECD Asia Oceania 2015'!$K14-'OECD Asia Oceania 2015'!$G14-'OECD Asia Oceania 2015'!$H14)=0,1,('OECD Asia Oceania 2015'!$L14-'OECD Asia Oceania 2015'!$J14-'OECD Asia Oceania 2015'!$K14-'OECD Asia Oceania 2015'!$G14-'OECD Asia Oceania 2015'!$H14))</f>
        <v>0</v>
      </c>
      <c r="G127" s="40">
        <f>'OECD Asia Oceania 2018'!$F14/IF(('OECD Asia Oceania 2018'!$L14-'OECD Asia Oceania 2018'!$J14-'OECD Asia Oceania 2018'!$K14-'OECD Asia Oceania 2018'!$G14-'OECD Asia Oceania 2018'!$H14)=0,1,('OECD Asia Oceania 2018'!$L14-'OECD Asia Oceania 2018'!$J14-'OECD Asia Oceania 2018'!$K14-'OECD Asia Oceania 2018'!$G14-'OECD Asia Oceania 2018'!$H14))</f>
        <v>0</v>
      </c>
      <c r="H127" s="77">
        <f t="shared" si="1"/>
        <v>0</v>
      </c>
      <c r="I127" s="77">
        <f t="shared" si="1"/>
        <v>0</v>
      </c>
    </row>
    <row r="128" spans="1:9" x14ac:dyDescent="0.35">
      <c r="A128" s="30" t="s">
        <v>146</v>
      </c>
      <c r="B128" s="40">
        <f>'OECD Asia Oceania 1995'!$I14/IF(('OECD Asia Oceania 1995'!$L14-'OECD Asia Oceania 1995'!$J14-'OECD Asia Oceania 1995'!$K14-'OECD Asia Oceania 1995'!$G14-'OECD Asia Oceania 1995'!$H14)=0,1,('OECD Asia Oceania 1995'!$L14-'OECD Asia Oceania 1995'!$J14-'OECD Asia Oceania 1995'!$K14-'OECD Asia Oceania 1995'!$G14-'OECD Asia Oceania 1995'!$H14))</f>
        <v>2.4390243902439025E-2</v>
      </c>
      <c r="C128" s="40">
        <f>'OECD Asia Oceania 2000'!$I14/IF(('OECD Asia Oceania 2000'!$L14-'OECD Asia Oceania 2000'!$J14-'OECD Asia Oceania 2000'!$K14-'OECD Asia Oceania 2000'!$G14-'OECD Asia Oceania 2000'!$H14)=0,1,('OECD Asia Oceania 2000'!$L14-'OECD Asia Oceania 2000'!$J14-'OECD Asia Oceania 2000'!$K14-'OECD Asia Oceania 2000'!$G14-'OECD Asia Oceania 2000'!$H14))</f>
        <v>0.11738148984198646</v>
      </c>
      <c r="D128" s="40">
        <f>'OECD Asia Oceania 2005'!$I14/IF(('OECD Asia Oceania 2005'!$L14-'OECD Asia Oceania 2005'!$J14-'OECD Asia Oceania 2005'!$K14-'OECD Asia Oceania 2005'!$G14-'OECD Asia Oceania 2005'!$H14)=0,1,('OECD Asia Oceania 2005'!$L14-'OECD Asia Oceania 2005'!$J14-'OECD Asia Oceania 2005'!$K14-'OECD Asia Oceania 2005'!$G14-'OECD Asia Oceania 2005'!$H14))</f>
        <v>0.1384180790960452</v>
      </c>
      <c r="E128" s="40">
        <f>'OECD Asia Oceania 2010'!$I14/IF(('OECD Asia Oceania 2010'!$L14-'OECD Asia Oceania 2010'!$J14-'OECD Asia Oceania 2010'!$K14-'OECD Asia Oceania 2010'!$G14-'OECD Asia Oceania 2010'!$H14)=0,1,('OECD Asia Oceania 2010'!$L14-'OECD Asia Oceania 2010'!$J14-'OECD Asia Oceania 2010'!$K14-'OECD Asia Oceania 2010'!$G14-'OECD Asia Oceania 2010'!$H14))</f>
        <v>0.35380116959064328</v>
      </c>
      <c r="F128" s="40">
        <f>'OECD Asia Oceania 2015'!$I14/IF(('OECD Asia Oceania 2015'!$L14-'OECD Asia Oceania 2015'!$J14-'OECD Asia Oceania 2015'!$K14-'OECD Asia Oceania 2015'!$G14-'OECD Asia Oceania 2015'!$H14)=0,1,('OECD Asia Oceania 2015'!$L14-'OECD Asia Oceania 2015'!$J14-'OECD Asia Oceania 2015'!$K14-'OECD Asia Oceania 2015'!$G14-'OECD Asia Oceania 2015'!$H14))</f>
        <v>0.50158730158730158</v>
      </c>
      <c r="G128" s="40">
        <f>'OECD Asia Oceania 2018'!$I14/IF(('OECD Asia Oceania 2018'!$L14-'OECD Asia Oceania 2018'!$J14-'OECD Asia Oceania 2018'!$K14-'OECD Asia Oceania 2018'!$G14-'OECD Asia Oceania 2018'!$H14)=0,1,('OECD Asia Oceania 2018'!$L14-'OECD Asia Oceania 2018'!$J14-'OECD Asia Oceania 2018'!$K14-'OECD Asia Oceania 2018'!$G14-'OECD Asia Oceania 2018'!$H14))</f>
        <v>0.47278911564625853</v>
      </c>
      <c r="H128" s="77">
        <f t="shared" si="1"/>
        <v>0.47278911564625853</v>
      </c>
      <c r="I128" s="77">
        <f t="shared" si="1"/>
        <v>0.47278911564625853</v>
      </c>
    </row>
    <row r="129" spans="1:9" x14ac:dyDescent="0.35">
      <c r="A129" s="32" t="s">
        <v>183</v>
      </c>
      <c r="B129" s="82"/>
      <c r="C129" s="82"/>
      <c r="D129" s="82"/>
      <c r="E129" s="82"/>
      <c r="F129" s="82"/>
      <c r="G129" s="82"/>
      <c r="H129" s="42">
        <f t="shared" si="1"/>
        <v>0</v>
      </c>
      <c r="I129" s="42">
        <f t="shared" si="1"/>
        <v>0</v>
      </c>
    </row>
    <row r="130" spans="1:9" x14ac:dyDescent="0.35">
      <c r="A130" s="30" t="s">
        <v>142</v>
      </c>
      <c r="B130" s="40">
        <v>1</v>
      </c>
      <c r="C130" s="40">
        <v>1</v>
      </c>
      <c r="D130" s="40">
        <v>1</v>
      </c>
      <c r="E130" s="40">
        <v>1</v>
      </c>
      <c r="F130" s="40">
        <v>1</v>
      </c>
      <c r="G130" s="40">
        <v>1</v>
      </c>
      <c r="H130" s="89">
        <f>1-H131</f>
        <v>1</v>
      </c>
      <c r="I130" s="89">
        <f>1-I131</f>
        <v>1</v>
      </c>
    </row>
    <row r="131" spans="1:9" x14ac:dyDescent="0.35">
      <c r="A131" s="30" t="s">
        <v>146</v>
      </c>
      <c r="B131" s="40">
        <v>0</v>
      </c>
      <c r="C131" s="40">
        <v>0</v>
      </c>
      <c r="D131" s="40">
        <v>0</v>
      </c>
      <c r="E131" s="40">
        <v>0</v>
      </c>
      <c r="F131" s="40">
        <v>0</v>
      </c>
      <c r="G131" s="40">
        <v>0</v>
      </c>
      <c r="H131" s="77">
        <f t="shared" si="1"/>
        <v>0</v>
      </c>
      <c r="I131" s="77">
        <f t="shared" si="1"/>
        <v>0</v>
      </c>
    </row>
    <row r="132" spans="1:9" x14ac:dyDescent="0.35">
      <c r="A132" s="30"/>
      <c r="B132" s="40">
        <v>0</v>
      </c>
      <c r="C132" s="40">
        <v>0</v>
      </c>
      <c r="D132" s="40">
        <v>0</v>
      </c>
      <c r="E132" s="40">
        <v>0</v>
      </c>
      <c r="F132" s="40">
        <v>0</v>
      </c>
      <c r="G132" s="40">
        <v>0</v>
      </c>
      <c r="H132" s="77">
        <f t="shared" si="1"/>
        <v>0</v>
      </c>
      <c r="I132" s="77">
        <f t="shared" si="1"/>
        <v>0</v>
      </c>
    </row>
    <row r="133" spans="1:9" x14ac:dyDescent="0.35">
      <c r="A133" s="32" t="s">
        <v>184</v>
      </c>
      <c r="B133" s="42"/>
      <c r="C133" s="42"/>
      <c r="D133" s="42"/>
      <c r="E133" s="42"/>
      <c r="F133" s="42"/>
      <c r="G133" s="42"/>
      <c r="H133" s="42">
        <f t="shared" si="1"/>
        <v>0</v>
      </c>
      <c r="I133" s="42">
        <f t="shared" si="1"/>
        <v>0</v>
      </c>
    </row>
    <row r="134" spans="1:9" x14ac:dyDescent="0.35">
      <c r="A134" s="30" t="s">
        <v>185</v>
      </c>
      <c r="H134" s="77">
        <f t="shared" ref="H134:I137" si="5">G134</f>
        <v>0</v>
      </c>
      <c r="I134" s="77">
        <f t="shared" si="5"/>
        <v>0</v>
      </c>
    </row>
    <row r="135" spans="1:9" x14ac:dyDescent="0.35">
      <c r="A135" s="30" t="s">
        <v>186</v>
      </c>
      <c r="H135" s="77">
        <f t="shared" si="5"/>
        <v>0</v>
      </c>
      <c r="I135" s="77">
        <f t="shared" si="5"/>
        <v>0</v>
      </c>
    </row>
    <row r="136" spans="1:9" x14ac:dyDescent="0.35">
      <c r="A136" s="30" t="s">
        <v>245</v>
      </c>
      <c r="H136" s="77">
        <f t="shared" si="5"/>
        <v>0</v>
      </c>
      <c r="I136" s="77">
        <f t="shared" si="5"/>
        <v>0</v>
      </c>
    </row>
    <row r="137" spans="1:9" x14ac:dyDescent="0.35">
      <c r="A137" s="30" t="s">
        <v>188</v>
      </c>
      <c r="H137" s="77">
        <f t="shared" si="5"/>
        <v>0</v>
      </c>
      <c r="I137" s="77">
        <f t="shared" si="5"/>
        <v>0</v>
      </c>
    </row>
    <row r="138" spans="1:9" x14ac:dyDescent="0.35">
      <c r="A138" s="32" t="s">
        <v>189</v>
      </c>
      <c r="B138" s="42"/>
      <c r="C138" s="42"/>
      <c r="D138" s="42"/>
      <c r="E138" s="42"/>
      <c r="F138" s="42"/>
      <c r="G138" s="42"/>
      <c r="H138" s="42"/>
      <c r="I138" s="42"/>
    </row>
    <row r="139" spans="1:9" x14ac:dyDescent="0.35">
      <c r="A139" s="30" t="s">
        <v>190</v>
      </c>
      <c r="G139" s="94">
        <v>0.8</v>
      </c>
      <c r="H139" s="93">
        <f>G139</f>
        <v>0.8</v>
      </c>
      <c r="I139" s="77">
        <f t="shared" ref="I139:I142" si="6">H139</f>
        <v>0.8</v>
      </c>
    </row>
    <row r="140" spans="1:9" x14ac:dyDescent="0.35">
      <c r="A140" s="30" t="s">
        <v>191</v>
      </c>
      <c r="G140" s="94">
        <v>0.3</v>
      </c>
      <c r="H140" s="93">
        <f t="shared" ref="H140:H142" si="7">G140</f>
        <v>0.3</v>
      </c>
      <c r="I140" s="77">
        <f t="shared" si="6"/>
        <v>0.3</v>
      </c>
    </row>
    <row r="141" spans="1:9" x14ac:dyDescent="0.35">
      <c r="A141" s="30" t="s">
        <v>192</v>
      </c>
      <c r="G141" s="94">
        <v>0.95</v>
      </c>
      <c r="H141" s="93">
        <f t="shared" si="7"/>
        <v>0.95</v>
      </c>
      <c r="I141" s="77">
        <f t="shared" si="6"/>
        <v>0.95</v>
      </c>
    </row>
    <row r="142" spans="1:9" x14ac:dyDescent="0.35">
      <c r="A142" s="30" t="s">
        <v>193</v>
      </c>
      <c r="G142" s="94">
        <v>1</v>
      </c>
      <c r="H142" s="93">
        <f t="shared" si="7"/>
        <v>1</v>
      </c>
      <c r="I142" s="77">
        <f t="shared" si="6"/>
        <v>1</v>
      </c>
    </row>
  </sheetData>
  <mergeCells count="1">
    <mergeCell ref="B3:I3"/>
  </mergeCells>
  <pageMargins left="0.7" right="0.7" top="0.75" bottom="0.75" header="0.3" footer="0.3"/>
  <pageSetup paperSize="9" orientation="portrait" horizontalDpi="4294967293" verticalDpi="4294967293" r:id="rId1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sheetPr codeName="Ark72"/>
  <dimension ref="A1:L32"/>
  <sheetViews>
    <sheetView workbookViewId="0">
      <selection activeCell="A3" sqref="A3:L30"/>
    </sheetView>
  </sheetViews>
  <sheetFormatPr defaultRowHeight="14.5" x14ac:dyDescent="0.35"/>
  <cols>
    <col min="1" max="1" width="30" customWidth="1"/>
    <col min="2" max="2" width="11.54296875" customWidth="1"/>
    <col min="3" max="3" width="12" customWidth="1"/>
    <col min="4" max="4" width="14.54296875" customWidth="1"/>
    <col min="5" max="5" width="14.1796875" customWidth="1"/>
    <col min="8" max="8" width="22.81640625" customWidth="1"/>
    <col min="9" max="9" width="21.81640625" customWidth="1"/>
    <col min="10" max="10" width="13.81640625" customWidth="1"/>
    <col min="11" max="11" width="12.26953125" customWidth="1"/>
    <col min="12" max="12" width="11.81640625" customWidth="1"/>
  </cols>
  <sheetData>
    <row r="1" spans="1:12" x14ac:dyDescent="0.35">
      <c r="B1" t="s">
        <v>214</v>
      </c>
      <c r="C1" t="s">
        <v>2</v>
      </c>
      <c r="D1" t="s">
        <v>215</v>
      </c>
      <c r="E1" t="s">
        <v>216</v>
      </c>
      <c r="F1" t="s">
        <v>5</v>
      </c>
      <c r="G1" t="s">
        <v>6</v>
      </c>
      <c r="H1" t="s">
        <v>217</v>
      </c>
      <c r="I1" t="s">
        <v>8</v>
      </c>
      <c r="J1" t="s">
        <v>9</v>
      </c>
      <c r="K1" t="s">
        <v>10</v>
      </c>
      <c r="L1" t="s">
        <v>218</v>
      </c>
    </row>
    <row r="2" spans="1:12" x14ac:dyDescent="0.35">
      <c r="B2" t="s">
        <v>219</v>
      </c>
      <c r="C2" t="s">
        <v>219</v>
      </c>
      <c r="D2" t="s">
        <v>219</v>
      </c>
      <c r="E2" t="s">
        <v>219</v>
      </c>
      <c r="F2" t="s">
        <v>219</v>
      </c>
      <c r="G2" t="s">
        <v>219</v>
      </c>
      <c r="H2" t="s">
        <v>219</v>
      </c>
      <c r="I2" t="s">
        <v>219</v>
      </c>
      <c r="J2" t="s">
        <v>219</v>
      </c>
      <c r="K2" t="s">
        <v>219</v>
      </c>
      <c r="L2" t="s">
        <v>219</v>
      </c>
    </row>
    <row r="3" spans="1:12" x14ac:dyDescent="0.35">
      <c r="A3" t="s">
        <v>17</v>
      </c>
      <c r="B3" s="7">
        <v>136016</v>
      </c>
      <c r="C3" s="7">
        <v>31015</v>
      </c>
      <c r="D3" s="7"/>
      <c r="E3" s="7">
        <v>30892</v>
      </c>
      <c r="F3" s="7">
        <v>93354</v>
      </c>
      <c r="G3" s="7">
        <v>10746</v>
      </c>
      <c r="H3" s="7">
        <v>6068</v>
      </c>
      <c r="I3" s="7">
        <v>10600</v>
      </c>
      <c r="J3" s="7"/>
      <c r="K3" s="7"/>
      <c r="L3" s="7">
        <v>318692</v>
      </c>
    </row>
    <row r="4" spans="1:12" x14ac:dyDescent="0.35">
      <c r="A4" t="s">
        <v>220</v>
      </c>
      <c r="B4" s="7">
        <v>115550</v>
      </c>
      <c r="C4" s="7">
        <v>353767</v>
      </c>
      <c r="D4" s="7">
        <v>85319</v>
      </c>
      <c r="E4" s="7">
        <v>59468</v>
      </c>
      <c r="F4" s="7"/>
      <c r="G4" s="7"/>
      <c r="H4" s="7"/>
      <c r="I4" s="7">
        <v>73</v>
      </c>
      <c r="J4" s="7"/>
      <c r="K4" s="7"/>
      <c r="L4" s="7">
        <v>614177</v>
      </c>
    </row>
    <row r="5" spans="1:12" x14ac:dyDescent="0.35">
      <c r="A5" t="s">
        <v>221</v>
      </c>
      <c r="B5" s="7">
        <v>-92044</v>
      </c>
      <c r="C5" s="7">
        <v>-11450</v>
      </c>
      <c r="D5" s="7">
        <v>-29616</v>
      </c>
      <c r="E5" s="7">
        <v>-8256</v>
      </c>
      <c r="F5" s="7"/>
      <c r="G5" s="7"/>
      <c r="H5" s="7"/>
      <c r="I5" s="7"/>
      <c r="J5" s="7">
        <v>-79</v>
      </c>
      <c r="K5" s="7"/>
      <c r="L5" s="7">
        <v>-141445</v>
      </c>
    </row>
    <row r="6" spans="1:12" x14ac:dyDescent="0.35">
      <c r="A6" t="s">
        <v>222</v>
      </c>
      <c r="B6" s="7"/>
      <c r="C6" s="7"/>
      <c r="D6" s="7">
        <v>-13750</v>
      </c>
      <c r="E6" s="7"/>
      <c r="F6" s="7"/>
      <c r="G6" s="7"/>
      <c r="H6" s="7"/>
      <c r="I6" s="7"/>
      <c r="J6" s="7"/>
      <c r="K6" s="7"/>
      <c r="L6" s="7">
        <v>-13750</v>
      </c>
    </row>
    <row r="7" spans="1:12" x14ac:dyDescent="0.35">
      <c r="A7" t="s">
        <v>223</v>
      </c>
      <c r="B7" s="7"/>
      <c r="C7" s="7"/>
      <c r="D7" s="7">
        <v>-9492</v>
      </c>
      <c r="E7" s="7"/>
      <c r="F7" s="7"/>
      <c r="G7" s="7"/>
      <c r="H7" s="7"/>
      <c r="I7" s="7"/>
      <c r="J7" s="7"/>
      <c r="K7" s="7"/>
      <c r="L7" s="7">
        <v>-9492</v>
      </c>
    </row>
    <row r="8" spans="1:12" x14ac:dyDescent="0.35">
      <c r="A8" t="s">
        <v>224</v>
      </c>
      <c r="B8" s="7">
        <v>-6337</v>
      </c>
      <c r="C8" s="7">
        <v>-1871</v>
      </c>
      <c r="D8" s="7">
        <v>900</v>
      </c>
      <c r="E8" s="7">
        <v>-29</v>
      </c>
      <c r="F8" s="7"/>
      <c r="G8" s="7"/>
      <c r="H8" s="7"/>
      <c r="I8" s="7"/>
      <c r="J8" s="7"/>
      <c r="K8" s="7"/>
      <c r="L8" s="7">
        <v>-7336</v>
      </c>
    </row>
    <row r="9" spans="1:12" x14ac:dyDescent="0.35">
      <c r="A9" t="s">
        <v>225</v>
      </c>
      <c r="B9" s="7">
        <v>153185</v>
      </c>
      <c r="C9" s="7">
        <v>371461</v>
      </c>
      <c r="D9" s="7">
        <v>33361</v>
      </c>
      <c r="E9" s="7">
        <v>82076</v>
      </c>
      <c r="F9" s="7">
        <v>93354</v>
      </c>
      <c r="G9" s="7">
        <v>10746</v>
      </c>
      <c r="H9" s="7">
        <v>6068</v>
      </c>
      <c r="I9" s="7">
        <v>10673</v>
      </c>
      <c r="J9" s="7">
        <v>-79</v>
      </c>
      <c r="K9" s="7"/>
      <c r="L9" s="7">
        <v>760846</v>
      </c>
    </row>
    <row r="10" spans="1:12" x14ac:dyDescent="0.35">
      <c r="A10" t="s">
        <v>226</v>
      </c>
      <c r="B10" s="7"/>
      <c r="C10" s="7">
        <v>-3436</v>
      </c>
      <c r="D10" s="7">
        <v>3793</v>
      </c>
      <c r="E10" s="7"/>
      <c r="F10" s="7"/>
      <c r="G10" s="7"/>
      <c r="H10" s="7"/>
      <c r="I10" s="7"/>
      <c r="J10" s="7"/>
      <c r="K10" s="7"/>
      <c r="L10" s="7">
        <v>358</v>
      </c>
    </row>
    <row r="11" spans="1:12" x14ac:dyDescent="0.35">
      <c r="A11" t="s">
        <v>227</v>
      </c>
      <c r="B11" s="7">
        <v>1671</v>
      </c>
      <c r="C11" s="7">
        <v>-29</v>
      </c>
      <c r="D11" s="7">
        <v>-4000</v>
      </c>
      <c r="E11" s="7">
        <v>309</v>
      </c>
      <c r="F11" s="7"/>
      <c r="G11" s="7"/>
      <c r="H11" s="7"/>
      <c r="I11" s="7">
        <v>43</v>
      </c>
      <c r="J11" s="7">
        <v>-247</v>
      </c>
      <c r="K11" s="7"/>
      <c r="L11" s="7">
        <v>-2253</v>
      </c>
    </row>
    <row r="12" spans="1:12" x14ac:dyDescent="0.35">
      <c r="A12" t="s">
        <v>228</v>
      </c>
      <c r="B12" s="7">
        <v>-82051</v>
      </c>
      <c r="C12" s="7">
        <v>-15422</v>
      </c>
      <c r="D12" s="7">
        <v>-41459</v>
      </c>
      <c r="E12" s="7">
        <v>-45219</v>
      </c>
      <c r="F12" s="7">
        <v>-93354</v>
      </c>
      <c r="G12" s="7">
        <v>-10746</v>
      </c>
      <c r="H12" s="7">
        <v>-4018</v>
      </c>
      <c r="I12" s="7">
        <v>-2196</v>
      </c>
      <c r="J12" s="7">
        <v>118200</v>
      </c>
      <c r="K12" s="7">
        <v>-38</v>
      </c>
      <c r="L12" s="7">
        <v>-176302</v>
      </c>
    </row>
    <row r="13" spans="1:12" x14ac:dyDescent="0.35">
      <c r="A13" t="s">
        <v>66</v>
      </c>
      <c r="B13" s="7">
        <v>-2647</v>
      </c>
      <c r="C13" s="7"/>
      <c r="D13" s="7">
        <v>-58</v>
      </c>
      <c r="E13" s="7">
        <v>-2291</v>
      </c>
      <c r="F13" s="7"/>
      <c r="G13" s="7"/>
      <c r="H13" s="7">
        <v>-77</v>
      </c>
      <c r="I13" s="7">
        <v>-721</v>
      </c>
      <c r="J13" s="7">
        <v>1926</v>
      </c>
      <c r="K13" s="7">
        <v>527</v>
      </c>
      <c r="L13" s="7">
        <v>-3342</v>
      </c>
    </row>
    <row r="14" spans="1:12" x14ac:dyDescent="0.35">
      <c r="A14" t="s">
        <v>229</v>
      </c>
      <c r="B14" s="7">
        <v>-15</v>
      </c>
      <c r="C14" s="7"/>
      <c r="D14" s="7">
        <v>-467</v>
      </c>
      <c r="E14" s="7">
        <v>-239</v>
      </c>
      <c r="F14" s="7"/>
      <c r="G14" s="7"/>
      <c r="H14" s="7"/>
      <c r="I14" s="7">
        <v>-18</v>
      </c>
      <c r="J14" s="7">
        <v>-61</v>
      </c>
      <c r="K14" s="7">
        <v>728</v>
      </c>
      <c r="L14" s="7">
        <v>-71</v>
      </c>
    </row>
    <row r="15" spans="1:12" x14ac:dyDescent="0.35">
      <c r="A15" t="s">
        <v>230</v>
      </c>
      <c r="B15" s="7">
        <v>-50</v>
      </c>
      <c r="C15" s="7"/>
      <c r="D15" s="7">
        <v>-3623</v>
      </c>
      <c r="E15" s="7">
        <v>3844</v>
      </c>
      <c r="F15" s="7"/>
      <c r="G15" s="7"/>
      <c r="H15" s="7"/>
      <c r="I15" s="7">
        <v>-1</v>
      </c>
      <c r="J15" s="7"/>
      <c r="K15" s="7"/>
      <c r="L15" s="7">
        <v>171</v>
      </c>
    </row>
    <row r="16" spans="1:12" x14ac:dyDescent="0.35">
      <c r="A16" t="s">
        <v>70</v>
      </c>
      <c r="B16" s="7"/>
      <c r="C16" s="7">
        <v>-359129</v>
      </c>
      <c r="D16" s="7">
        <v>361665</v>
      </c>
      <c r="E16" s="7"/>
      <c r="F16" s="7"/>
      <c r="G16" s="7"/>
      <c r="H16" s="7"/>
      <c r="I16" s="7"/>
      <c r="J16" s="7"/>
      <c r="K16" s="7"/>
      <c r="L16" s="7">
        <v>2535</v>
      </c>
    </row>
    <row r="17" spans="1:12" x14ac:dyDescent="0.35">
      <c r="A17" t="s">
        <v>231</v>
      </c>
      <c r="B17" s="7">
        <v>-27016</v>
      </c>
      <c r="C17" s="7"/>
      <c r="D17" s="7">
        <v>-579</v>
      </c>
      <c r="E17" s="7">
        <v>-229</v>
      </c>
      <c r="F17" s="7"/>
      <c r="G17" s="7"/>
      <c r="H17" s="7"/>
      <c r="I17" s="7"/>
      <c r="J17" s="7"/>
      <c r="K17" s="7"/>
      <c r="L17" s="7">
        <v>-27824</v>
      </c>
    </row>
    <row r="18" spans="1:12" x14ac:dyDescent="0.35">
      <c r="A18" t="s">
        <v>232</v>
      </c>
      <c r="B18" s="7"/>
      <c r="C18" s="7">
        <v>290</v>
      </c>
      <c r="D18" s="7"/>
      <c r="E18" s="7">
        <v>-333</v>
      </c>
      <c r="F18" s="7"/>
      <c r="G18" s="7"/>
      <c r="H18" s="7"/>
      <c r="I18" s="7"/>
      <c r="J18" s="7"/>
      <c r="K18" s="7"/>
      <c r="L18" s="7">
        <v>-43</v>
      </c>
    </row>
    <row r="19" spans="1:12" x14ac:dyDescent="0.35">
      <c r="A19" t="s">
        <v>233</v>
      </c>
      <c r="B19" s="7"/>
      <c r="C19" s="7">
        <v>7382</v>
      </c>
      <c r="D19" s="7">
        <v>-7560</v>
      </c>
      <c r="E19" s="7"/>
      <c r="F19" s="7"/>
      <c r="G19" s="7"/>
      <c r="H19" s="7"/>
      <c r="I19" s="7">
        <v>-32</v>
      </c>
      <c r="J19" s="7"/>
      <c r="K19" s="7"/>
      <c r="L19" s="7">
        <v>-210</v>
      </c>
    </row>
    <row r="20" spans="1:12" x14ac:dyDescent="0.35">
      <c r="A20" t="s">
        <v>234</v>
      </c>
      <c r="B20" s="7">
        <v>-5639</v>
      </c>
      <c r="C20" s="7">
        <v>-35</v>
      </c>
      <c r="D20" s="7">
        <v>-18011</v>
      </c>
      <c r="E20" s="7">
        <v>-3365</v>
      </c>
      <c r="F20" s="7"/>
      <c r="G20" s="7"/>
      <c r="H20" s="7"/>
      <c r="I20" s="7"/>
      <c r="J20" s="7">
        <v>-7346</v>
      </c>
      <c r="K20" s="7">
        <v>-52</v>
      </c>
      <c r="L20" s="7">
        <v>-34447</v>
      </c>
    </row>
    <row r="21" spans="1:12" x14ac:dyDescent="0.35">
      <c r="A21" t="s">
        <v>235</v>
      </c>
      <c r="B21" s="7">
        <v>-111</v>
      </c>
      <c r="C21" s="7"/>
      <c r="D21" s="7"/>
      <c r="E21" s="7">
        <v>-5</v>
      </c>
      <c r="F21" s="7"/>
      <c r="G21" s="7"/>
      <c r="H21" s="7"/>
      <c r="I21" s="7"/>
      <c r="J21" s="7">
        <v>-5906</v>
      </c>
      <c r="K21" s="7">
        <v>-20</v>
      </c>
      <c r="L21" s="7">
        <v>-6042</v>
      </c>
    </row>
    <row r="22" spans="1:12" x14ac:dyDescent="0.35">
      <c r="A22" t="s">
        <v>131</v>
      </c>
      <c r="B22" s="7">
        <v>37328</v>
      </c>
      <c r="C22" s="7">
        <v>1082</v>
      </c>
      <c r="D22" s="7">
        <v>323061</v>
      </c>
      <c r="E22" s="7">
        <v>34549</v>
      </c>
      <c r="F22" s="7"/>
      <c r="G22" s="7"/>
      <c r="H22" s="7">
        <v>1973</v>
      </c>
      <c r="I22" s="7">
        <v>7748</v>
      </c>
      <c r="J22" s="7">
        <v>106488</v>
      </c>
      <c r="K22" s="7">
        <v>1145</v>
      </c>
      <c r="L22" s="7">
        <v>513375</v>
      </c>
    </row>
    <row r="23" spans="1:12" x14ac:dyDescent="0.35">
      <c r="A23" t="s">
        <v>80</v>
      </c>
      <c r="B23" s="7">
        <v>34212</v>
      </c>
      <c r="C23" s="7">
        <v>39</v>
      </c>
      <c r="D23" s="7">
        <v>59487</v>
      </c>
      <c r="E23" s="7">
        <v>14603</v>
      </c>
      <c r="F23" s="7"/>
      <c r="G23" s="7"/>
      <c r="H23" s="7">
        <v>121</v>
      </c>
      <c r="I23" s="7">
        <v>5351</v>
      </c>
      <c r="J23" s="7">
        <v>50665</v>
      </c>
      <c r="K23" s="7"/>
      <c r="L23" s="7">
        <v>164478</v>
      </c>
    </row>
    <row r="24" spans="1:12" x14ac:dyDescent="0.35">
      <c r="A24" t="s">
        <v>82</v>
      </c>
      <c r="B24" s="7">
        <v>90</v>
      </c>
      <c r="C24" s="7"/>
      <c r="D24" s="7">
        <v>138126</v>
      </c>
      <c r="E24" s="7">
        <v>222</v>
      </c>
      <c r="F24" s="7"/>
      <c r="G24" s="7"/>
      <c r="H24" s="7"/>
      <c r="I24" s="7"/>
      <c r="J24" s="7">
        <v>1927</v>
      </c>
      <c r="K24" s="7"/>
      <c r="L24" s="7">
        <v>140365</v>
      </c>
    </row>
    <row r="25" spans="1:12" x14ac:dyDescent="0.35">
      <c r="A25" t="s">
        <v>86</v>
      </c>
      <c r="B25" s="7">
        <v>1470</v>
      </c>
      <c r="C25" s="7"/>
      <c r="D25" s="7">
        <v>19514</v>
      </c>
      <c r="E25" s="7">
        <v>13613</v>
      </c>
      <c r="F25" s="7"/>
      <c r="G25" s="7"/>
      <c r="H25" s="7">
        <v>1538</v>
      </c>
      <c r="I25" s="7">
        <v>2190</v>
      </c>
      <c r="J25" s="7">
        <v>27211</v>
      </c>
      <c r="K25" s="7">
        <v>565</v>
      </c>
      <c r="L25" s="7">
        <v>66102</v>
      </c>
    </row>
    <row r="26" spans="1:12" x14ac:dyDescent="0.35">
      <c r="A26" t="s">
        <v>88</v>
      </c>
      <c r="B26" s="7">
        <v>143</v>
      </c>
      <c r="C26" s="7"/>
      <c r="D26" s="7">
        <v>36224</v>
      </c>
      <c r="E26" s="7">
        <v>4695</v>
      </c>
      <c r="F26" s="7"/>
      <c r="G26" s="7"/>
      <c r="H26" s="7">
        <v>217</v>
      </c>
      <c r="I26" s="7">
        <v>177</v>
      </c>
      <c r="J26" s="7">
        <v>25458</v>
      </c>
      <c r="K26" s="7">
        <v>372</v>
      </c>
      <c r="L26" s="7">
        <v>67287</v>
      </c>
    </row>
    <row r="27" spans="1:12" x14ac:dyDescent="0.35">
      <c r="A27" t="s">
        <v>90</v>
      </c>
      <c r="B27" s="7">
        <v>23</v>
      </c>
      <c r="C27" s="7"/>
      <c r="D27" s="7">
        <v>7849</v>
      </c>
      <c r="E27" s="7">
        <v>45</v>
      </c>
      <c r="F27" s="7"/>
      <c r="G27" s="7"/>
      <c r="H27" s="7">
        <v>97</v>
      </c>
      <c r="I27" s="7"/>
      <c r="J27" s="7">
        <v>924</v>
      </c>
      <c r="K27" s="7"/>
      <c r="L27" s="7">
        <v>8937</v>
      </c>
    </row>
    <row r="28" spans="1:12" x14ac:dyDescent="0.35">
      <c r="A28" t="s">
        <v>92</v>
      </c>
      <c r="B28" s="7"/>
      <c r="C28" s="7"/>
      <c r="D28" s="7">
        <v>2202</v>
      </c>
      <c r="E28" s="7">
        <v>2</v>
      </c>
      <c r="F28" s="7"/>
      <c r="G28" s="7"/>
      <c r="H28" s="7"/>
      <c r="I28" s="7"/>
      <c r="J28" s="7">
        <v>41</v>
      </c>
      <c r="K28" s="7"/>
      <c r="L28" s="7">
        <v>2245</v>
      </c>
    </row>
    <row r="29" spans="1:12" x14ac:dyDescent="0.35">
      <c r="A29" t="s">
        <v>94</v>
      </c>
      <c r="B29" s="7"/>
      <c r="C29" s="7"/>
      <c r="D29" s="7">
        <v>3436</v>
      </c>
      <c r="E29" s="7"/>
      <c r="F29" s="7"/>
      <c r="G29" s="7"/>
      <c r="H29" s="7"/>
      <c r="I29" s="7">
        <v>29</v>
      </c>
      <c r="J29" s="7">
        <v>262</v>
      </c>
      <c r="K29" s="7">
        <v>208</v>
      </c>
      <c r="L29" s="7">
        <v>3936</v>
      </c>
    </row>
    <row r="30" spans="1:12" x14ac:dyDescent="0.35">
      <c r="A30" t="s">
        <v>236</v>
      </c>
      <c r="B30" s="7">
        <v>1390</v>
      </c>
      <c r="C30" s="7">
        <v>1043</v>
      </c>
      <c r="D30" s="7">
        <v>56223</v>
      </c>
      <c r="E30" s="7">
        <v>1369</v>
      </c>
      <c r="F30" s="7"/>
      <c r="G30" s="7"/>
      <c r="H30" s="7"/>
      <c r="I30" s="7"/>
      <c r="J30" s="7"/>
      <c r="K30" s="7"/>
      <c r="L30" s="7">
        <v>60025</v>
      </c>
    </row>
    <row r="32" spans="1:12" x14ac:dyDescent="0.35">
      <c r="B32" s="7">
        <f>SUM(B9,B10:B21,B22*-1)</f>
        <v>-1</v>
      </c>
      <c r="C32" s="7">
        <f t="shared" ref="C32:L32" si="0">SUM(C9,C10:C21,C22*-1)</f>
        <v>0</v>
      </c>
      <c r="D32" s="7">
        <f t="shared" si="0"/>
        <v>1</v>
      </c>
      <c r="E32" s="7">
        <f t="shared" si="0"/>
        <v>-1</v>
      </c>
      <c r="F32" s="7">
        <f t="shared" si="0"/>
        <v>0</v>
      </c>
      <c r="G32" s="7">
        <f t="shared" si="0"/>
        <v>0</v>
      </c>
      <c r="H32" s="7">
        <f t="shared" si="0"/>
        <v>0</v>
      </c>
      <c r="I32" s="7">
        <f t="shared" si="0"/>
        <v>0</v>
      </c>
      <c r="J32" s="7">
        <f t="shared" si="0"/>
        <v>-1</v>
      </c>
      <c r="K32" s="7">
        <f t="shared" si="0"/>
        <v>0</v>
      </c>
      <c r="L32" s="7">
        <f t="shared" si="0"/>
        <v>1</v>
      </c>
    </row>
  </sheetData>
  <pageMargins left="0.7" right="0.7" top="0.75" bottom="0.75" header="0.3" footer="0.3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sheetPr codeName="Ark73"/>
  <dimension ref="A1:L32"/>
  <sheetViews>
    <sheetView workbookViewId="0">
      <selection activeCell="A37" sqref="A37"/>
    </sheetView>
  </sheetViews>
  <sheetFormatPr defaultRowHeight="14.5" x14ac:dyDescent="0.35"/>
  <cols>
    <col min="1" max="1" width="30" customWidth="1"/>
    <col min="2" max="2" width="11.54296875" customWidth="1"/>
    <col min="3" max="3" width="12" customWidth="1"/>
    <col min="4" max="4" width="14.54296875" customWidth="1"/>
    <col min="5" max="5" width="14.1796875" customWidth="1"/>
    <col min="8" max="8" width="22.81640625" customWidth="1"/>
    <col min="9" max="9" width="21.81640625" customWidth="1"/>
    <col min="10" max="10" width="13.81640625" customWidth="1"/>
    <col min="11" max="11" width="12.26953125" customWidth="1"/>
    <col min="12" max="12" width="11.81640625" customWidth="1"/>
  </cols>
  <sheetData>
    <row r="1" spans="1:12" x14ac:dyDescent="0.35">
      <c r="B1" t="s">
        <v>214</v>
      </c>
      <c r="C1" t="s">
        <v>2</v>
      </c>
      <c r="D1" t="s">
        <v>215</v>
      </c>
      <c r="E1" t="s">
        <v>216</v>
      </c>
      <c r="F1" t="s">
        <v>5</v>
      </c>
      <c r="G1" t="s">
        <v>6</v>
      </c>
      <c r="H1" t="s">
        <v>217</v>
      </c>
      <c r="I1" t="s">
        <v>8</v>
      </c>
      <c r="J1" t="s">
        <v>9</v>
      </c>
      <c r="K1" t="s">
        <v>10</v>
      </c>
      <c r="L1" t="s">
        <v>218</v>
      </c>
    </row>
    <row r="2" spans="1:12" x14ac:dyDescent="0.35">
      <c r="B2" t="s">
        <v>219</v>
      </c>
      <c r="C2" t="s">
        <v>219</v>
      </c>
      <c r="D2" t="s">
        <v>219</v>
      </c>
      <c r="E2" t="s">
        <v>219</v>
      </c>
      <c r="F2" t="s">
        <v>219</v>
      </c>
      <c r="G2" t="s">
        <v>219</v>
      </c>
      <c r="H2" t="s">
        <v>219</v>
      </c>
      <c r="I2" t="s">
        <v>219</v>
      </c>
      <c r="J2" t="s">
        <v>219</v>
      </c>
      <c r="K2" t="s">
        <v>219</v>
      </c>
      <c r="L2" t="s">
        <v>219</v>
      </c>
    </row>
    <row r="3" spans="1:12" x14ac:dyDescent="0.35">
      <c r="A3" t="s">
        <v>17</v>
      </c>
      <c r="B3" s="7">
        <v>171853</v>
      </c>
      <c r="C3" s="7">
        <v>37165</v>
      </c>
      <c r="D3" s="7"/>
      <c r="E3" s="7">
        <v>35890</v>
      </c>
      <c r="F3" s="7">
        <v>112305</v>
      </c>
      <c r="G3" s="7">
        <v>11082</v>
      </c>
      <c r="H3" s="7">
        <v>6690</v>
      </c>
      <c r="I3" s="7">
        <v>12836</v>
      </c>
      <c r="J3" s="7"/>
      <c r="K3" s="7"/>
      <c r="L3" s="7">
        <v>387821</v>
      </c>
    </row>
    <row r="4" spans="1:12" x14ac:dyDescent="0.35">
      <c r="A4" t="s">
        <v>220</v>
      </c>
      <c r="B4" s="7">
        <v>142638</v>
      </c>
      <c r="C4" s="7">
        <v>385689</v>
      </c>
      <c r="D4" s="7">
        <v>87258</v>
      </c>
      <c r="E4" s="7">
        <v>80536</v>
      </c>
      <c r="F4" s="7"/>
      <c r="G4" s="7"/>
      <c r="H4" s="7"/>
      <c r="I4" s="7">
        <v>139</v>
      </c>
      <c r="J4" s="7"/>
      <c r="K4" s="7"/>
      <c r="L4" s="7">
        <v>696260</v>
      </c>
    </row>
    <row r="5" spans="1:12" x14ac:dyDescent="0.35">
      <c r="A5" t="s">
        <v>221</v>
      </c>
      <c r="B5" s="7">
        <v>-124409</v>
      </c>
      <c r="C5" s="7">
        <v>-20727</v>
      </c>
      <c r="D5" s="7">
        <v>-52449</v>
      </c>
      <c r="E5" s="7">
        <v>-9265</v>
      </c>
      <c r="F5" s="7"/>
      <c r="G5" s="7"/>
      <c r="H5" s="7"/>
      <c r="I5" s="7"/>
      <c r="J5" s="7">
        <v>-125</v>
      </c>
      <c r="K5" s="7"/>
      <c r="L5" s="7">
        <v>-206975</v>
      </c>
    </row>
    <row r="6" spans="1:12" x14ac:dyDescent="0.35">
      <c r="A6" t="s">
        <v>222</v>
      </c>
      <c r="B6" s="7"/>
      <c r="C6" s="7"/>
      <c r="D6" s="7">
        <v>-16190</v>
      </c>
      <c r="E6" s="7"/>
      <c r="F6" s="7"/>
      <c r="G6" s="7"/>
      <c r="H6" s="7"/>
      <c r="I6" s="7"/>
      <c r="J6" s="7"/>
      <c r="K6" s="7"/>
      <c r="L6" s="7">
        <v>-16190</v>
      </c>
    </row>
    <row r="7" spans="1:12" x14ac:dyDescent="0.35">
      <c r="A7" t="s">
        <v>223</v>
      </c>
      <c r="B7" s="7"/>
      <c r="C7" s="7"/>
      <c r="D7" s="7">
        <v>-10997</v>
      </c>
      <c r="E7" s="7"/>
      <c r="F7" s="7"/>
      <c r="G7" s="7"/>
      <c r="H7" s="7"/>
      <c r="I7" s="7"/>
      <c r="J7" s="7"/>
      <c r="K7" s="7"/>
      <c r="L7" s="7">
        <v>-10997</v>
      </c>
    </row>
    <row r="8" spans="1:12" x14ac:dyDescent="0.35">
      <c r="A8" t="s">
        <v>224</v>
      </c>
      <c r="B8" s="7">
        <v>4603</v>
      </c>
      <c r="C8" s="7">
        <v>-2101</v>
      </c>
      <c r="D8" s="7">
        <v>-2454</v>
      </c>
      <c r="E8" s="7">
        <v>-181</v>
      </c>
      <c r="F8" s="7"/>
      <c r="G8" s="7"/>
      <c r="H8" s="7"/>
      <c r="I8" s="7"/>
      <c r="J8" s="7"/>
      <c r="K8" s="7"/>
      <c r="L8" s="7">
        <v>-133</v>
      </c>
    </row>
    <row r="9" spans="1:12" x14ac:dyDescent="0.35">
      <c r="A9" t="s">
        <v>225</v>
      </c>
      <c r="B9" s="7">
        <v>194685</v>
      </c>
      <c r="C9" s="7">
        <v>400026</v>
      </c>
      <c r="D9" s="7">
        <v>5168</v>
      </c>
      <c r="E9" s="7">
        <v>106980</v>
      </c>
      <c r="F9" s="7">
        <v>112305</v>
      </c>
      <c r="G9" s="7">
        <v>11082</v>
      </c>
      <c r="H9" s="7">
        <v>6690</v>
      </c>
      <c r="I9" s="7">
        <v>12975</v>
      </c>
      <c r="J9" s="7">
        <v>-125</v>
      </c>
      <c r="K9" s="7"/>
      <c r="L9" s="7">
        <v>849785</v>
      </c>
    </row>
    <row r="10" spans="1:12" x14ac:dyDescent="0.35">
      <c r="A10" t="s">
        <v>226</v>
      </c>
      <c r="B10" s="7"/>
      <c r="C10" s="7">
        <v>-2152</v>
      </c>
      <c r="D10" s="7">
        <v>5476</v>
      </c>
      <c r="E10" s="7"/>
      <c r="F10" s="7"/>
      <c r="G10" s="7"/>
      <c r="H10" s="7"/>
      <c r="I10" s="7"/>
      <c r="J10" s="7"/>
      <c r="K10" s="7"/>
      <c r="L10" s="7">
        <v>3324</v>
      </c>
    </row>
    <row r="11" spans="1:12" x14ac:dyDescent="0.35">
      <c r="A11" t="s">
        <v>227</v>
      </c>
      <c r="B11" s="7">
        <v>-3261</v>
      </c>
      <c r="C11" s="7">
        <v>-4316</v>
      </c>
      <c r="D11" s="7">
        <v>-4282</v>
      </c>
      <c r="E11" s="7">
        <v>553</v>
      </c>
      <c r="F11" s="7"/>
      <c r="G11" s="7"/>
      <c r="H11" s="7"/>
      <c r="I11" s="7">
        <v>56</v>
      </c>
      <c r="J11" s="7">
        <v>2139</v>
      </c>
      <c r="K11" s="7"/>
      <c r="L11" s="7">
        <v>-9111</v>
      </c>
    </row>
    <row r="12" spans="1:12" x14ac:dyDescent="0.35">
      <c r="A12" t="s">
        <v>228</v>
      </c>
      <c r="B12" s="7">
        <v>-118942</v>
      </c>
      <c r="C12" s="7">
        <v>-7241</v>
      </c>
      <c r="D12" s="7">
        <v>-29806</v>
      </c>
      <c r="E12" s="7">
        <v>-56338</v>
      </c>
      <c r="F12" s="7">
        <v>-112305</v>
      </c>
      <c r="G12" s="7">
        <v>-11082</v>
      </c>
      <c r="H12" s="7">
        <v>-4671</v>
      </c>
      <c r="I12" s="7">
        <v>-2169</v>
      </c>
      <c r="J12" s="7">
        <v>137415</v>
      </c>
      <c r="K12" s="7">
        <v>-38</v>
      </c>
      <c r="L12" s="7">
        <v>-205178</v>
      </c>
    </row>
    <row r="13" spans="1:12" x14ac:dyDescent="0.35">
      <c r="A13" t="s">
        <v>66</v>
      </c>
      <c r="B13" s="7">
        <v>-2777</v>
      </c>
      <c r="C13" s="7"/>
      <c r="D13" s="7">
        <v>-2277</v>
      </c>
      <c r="E13" s="7">
        <v>-2946</v>
      </c>
      <c r="F13" s="7"/>
      <c r="G13" s="7"/>
      <c r="H13" s="7">
        <v>-68</v>
      </c>
      <c r="I13" s="7">
        <v>-835</v>
      </c>
      <c r="J13" s="7">
        <v>3199</v>
      </c>
      <c r="K13" s="7">
        <v>3121</v>
      </c>
      <c r="L13" s="7">
        <v>-2583</v>
      </c>
    </row>
    <row r="14" spans="1:12" x14ac:dyDescent="0.35">
      <c r="A14" t="s">
        <v>229</v>
      </c>
      <c r="B14" s="7">
        <v>-16</v>
      </c>
      <c r="C14" s="7"/>
      <c r="D14" s="7">
        <v>-454</v>
      </c>
      <c r="E14" s="7">
        <v>-312</v>
      </c>
      <c r="F14" s="7"/>
      <c r="G14" s="7"/>
      <c r="H14" s="7"/>
      <c r="I14" s="7">
        <v>-104</v>
      </c>
      <c r="J14" s="7">
        <v>-94</v>
      </c>
      <c r="K14" s="7">
        <v>811</v>
      </c>
      <c r="L14" s="7">
        <v>-169</v>
      </c>
    </row>
    <row r="15" spans="1:12" x14ac:dyDescent="0.35">
      <c r="A15" t="s">
        <v>230</v>
      </c>
      <c r="B15" s="7">
        <v>-135</v>
      </c>
      <c r="C15" s="7"/>
      <c r="D15" s="7">
        <v>-2874</v>
      </c>
      <c r="E15" s="7">
        <v>3175</v>
      </c>
      <c r="F15" s="7"/>
      <c r="G15" s="7"/>
      <c r="H15" s="7"/>
      <c r="I15" s="7">
        <v>-1</v>
      </c>
      <c r="J15" s="7"/>
      <c r="K15" s="7"/>
      <c r="L15" s="7">
        <v>165</v>
      </c>
    </row>
    <row r="16" spans="1:12" x14ac:dyDescent="0.35">
      <c r="A16" t="s">
        <v>70</v>
      </c>
      <c r="B16" s="7"/>
      <c r="C16" s="7">
        <v>-396691</v>
      </c>
      <c r="D16" s="7">
        <v>393964</v>
      </c>
      <c r="E16" s="7"/>
      <c r="F16" s="7"/>
      <c r="G16" s="7"/>
      <c r="H16" s="7"/>
      <c r="I16" s="7"/>
      <c r="J16" s="7"/>
      <c r="K16" s="7"/>
      <c r="L16" s="7">
        <v>-2727</v>
      </c>
    </row>
    <row r="17" spans="1:12" x14ac:dyDescent="0.35">
      <c r="A17" t="s">
        <v>231</v>
      </c>
      <c r="B17" s="7">
        <v>-29122</v>
      </c>
      <c r="C17" s="7"/>
      <c r="D17" s="7">
        <v>-792</v>
      </c>
      <c r="E17" s="7">
        <v>-111</v>
      </c>
      <c r="F17" s="7"/>
      <c r="G17" s="7"/>
      <c r="H17" s="7"/>
      <c r="I17" s="7"/>
      <c r="J17" s="7"/>
      <c r="K17" s="7"/>
      <c r="L17" s="7">
        <v>-30024</v>
      </c>
    </row>
    <row r="18" spans="1:12" x14ac:dyDescent="0.35">
      <c r="A18" t="s">
        <v>232</v>
      </c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</row>
    <row r="19" spans="1:12" x14ac:dyDescent="0.35">
      <c r="A19" t="s">
        <v>233</v>
      </c>
      <c r="B19" s="7"/>
      <c r="C19" s="7">
        <v>11868</v>
      </c>
      <c r="D19" s="7">
        <v>-11960</v>
      </c>
      <c r="E19" s="7"/>
      <c r="F19" s="7"/>
      <c r="G19" s="7"/>
      <c r="H19" s="7"/>
      <c r="I19" s="7">
        <v>-26</v>
      </c>
      <c r="J19" s="7"/>
      <c r="K19" s="7"/>
      <c r="L19" s="7">
        <v>-118</v>
      </c>
    </row>
    <row r="20" spans="1:12" x14ac:dyDescent="0.35">
      <c r="A20" t="s">
        <v>234</v>
      </c>
      <c r="B20" s="7">
        <v>-5752</v>
      </c>
      <c r="C20" s="7">
        <v>-20</v>
      </c>
      <c r="D20" s="7">
        <v>-19135</v>
      </c>
      <c r="E20" s="7">
        <v>-4329</v>
      </c>
      <c r="F20" s="7"/>
      <c r="G20" s="7"/>
      <c r="H20" s="7"/>
      <c r="I20" s="7"/>
      <c r="J20" s="7">
        <v>-8384</v>
      </c>
      <c r="K20" s="7">
        <v>-6</v>
      </c>
      <c r="L20" s="7">
        <v>-37627</v>
      </c>
    </row>
    <row r="21" spans="1:12" x14ac:dyDescent="0.35">
      <c r="A21" t="s">
        <v>235</v>
      </c>
      <c r="B21" s="7">
        <v>-6</v>
      </c>
      <c r="C21" s="7"/>
      <c r="D21" s="7"/>
      <c r="E21" s="7">
        <v>-16</v>
      </c>
      <c r="F21" s="7"/>
      <c r="G21" s="7"/>
      <c r="H21" s="7"/>
      <c r="I21" s="7"/>
      <c r="J21" s="7">
        <v>-6781</v>
      </c>
      <c r="K21" s="7">
        <v>-54</v>
      </c>
      <c r="L21" s="7">
        <v>-6857</v>
      </c>
    </row>
    <row r="22" spans="1:12" x14ac:dyDescent="0.35">
      <c r="A22" t="s">
        <v>131</v>
      </c>
      <c r="B22" s="7">
        <v>34674</v>
      </c>
      <c r="C22" s="7">
        <v>1473</v>
      </c>
      <c r="D22" s="7">
        <v>333028</v>
      </c>
      <c r="E22" s="7">
        <v>46657</v>
      </c>
      <c r="F22" s="7"/>
      <c r="G22" s="7"/>
      <c r="H22" s="7">
        <v>1951</v>
      </c>
      <c r="I22" s="7">
        <v>9895</v>
      </c>
      <c r="J22" s="7">
        <v>127369</v>
      </c>
      <c r="K22" s="7">
        <v>3833</v>
      </c>
      <c r="L22" s="7">
        <v>558880</v>
      </c>
    </row>
    <row r="23" spans="1:12" x14ac:dyDescent="0.35">
      <c r="A23" t="s">
        <v>80</v>
      </c>
      <c r="B23" s="7">
        <v>33126</v>
      </c>
      <c r="C23" s="7">
        <v>25</v>
      </c>
      <c r="D23" s="7">
        <v>53012</v>
      </c>
      <c r="E23" s="7">
        <v>18632</v>
      </c>
      <c r="F23" s="7"/>
      <c r="G23" s="7"/>
      <c r="H23" s="7">
        <v>129</v>
      </c>
      <c r="I23" s="7">
        <v>6946</v>
      </c>
      <c r="J23" s="7">
        <v>57631</v>
      </c>
      <c r="K23" s="7">
        <v>2125</v>
      </c>
      <c r="L23" s="7">
        <v>171627</v>
      </c>
    </row>
    <row r="24" spans="1:12" x14ac:dyDescent="0.35">
      <c r="A24" t="s">
        <v>82</v>
      </c>
      <c r="B24" s="7">
        <v>91</v>
      </c>
      <c r="C24" s="7"/>
      <c r="D24" s="7">
        <v>147031</v>
      </c>
      <c r="E24" s="7">
        <v>329</v>
      </c>
      <c r="F24" s="7"/>
      <c r="G24" s="7"/>
      <c r="H24" s="7"/>
      <c r="I24" s="7"/>
      <c r="J24" s="7">
        <v>1979</v>
      </c>
      <c r="K24" s="7"/>
      <c r="L24" s="7">
        <v>149430</v>
      </c>
    </row>
    <row r="25" spans="1:12" x14ac:dyDescent="0.35">
      <c r="A25" t="s">
        <v>86</v>
      </c>
      <c r="B25" s="7">
        <v>609</v>
      </c>
      <c r="C25" s="7"/>
      <c r="D25" s="7">
        <v>22495</v>
      </c>
      <c r="E25" s="7">
        <v>17938</v>
      </c>
      <c r="F25" s="7"/>
      <c r="G25" s="7"/>
      <c r="H25" s="7">
        <v>1511</v>
      </c>
      <c r="I25" s="7">
        <v>2118</v>
      </c>
      <c r="J25" s="7">
        <v>30856</v>
      </c>
      <c r="K25" s="7">
        <v>1102</v>
      </c>
      <c r="L25" s="7">
        <v>76628</v>
      </c>
    </row>
    <row r="26" spans="1:12" x14ac:dyDescent="0.35">
      <c r="A26" t="s">
        <v>88</v>
      </c>
      <c r="B26" s="7">
        <v>90</v>
      </c>
      <c r="C26" s="7"/>
      <c r="D26" s="7">
        <v>32222</v>
      </c>
      <c r="E26" s="7">
        <v>7835</v>
      </c>
      <c r="F26" s="7"/>
      <c r="G26" s="7"/>
      <c r="H26" s="7">
        <v>209</v>
      </c>
      <c r="I26" s="7">
        <v>271</v>
      </c>
      <c r="J26" s="7">
        <v>35340</v>
      </c>
      <c r="K26" s="7">
        <v>606</v>
      </c>
      <c r="L26" s="7">
        <v>76572</v>
      </c>
    </row>
    <row r="27" spans="1:12" x14ac:dyDescent="0.35">
      <c r="A27" t="s">
        <v>90</v>
      </c>
      <c r="B27" s="7">
        <v>13</v>
      </c>
      <c r="C27" s="7"/>
      <c r="D27" s="7">
        <v>8635</v>
      </c>
      <c r="E27" s="7">
        <v>57</v>
      </c>
      <c r="F27" s="7"/>
      <c r="G27" s="7"/>
      <c r="H27" s="7">
        <v>103</v>
      </c>
      <c r="I27" s="7"/>
      <c r="J27" s="7">
        <v>1181</v>
      </c>
      <c r="K27" s="7"/>
      <c r="L27" s="7">
        <v>9989</v>
      </c>
    </row>
    <row r="28" spans="1:12" x14ac:dyDescent="0.35">
      <c r="A28" t="s">
        <v>92</v>
      </c>
      <c r="B28" s="7"/>
      <c r="C28" s="7"/>
      <c r="D28" s="7">
        <v>2103</v>
      </c>
      <c r="E28" s="7">
        <v>1</v>
      </c>
      <c r="F28" s="7"/>
      <c r="G28" s="7"/>
      <c r="H28" s="7"/>
      <c r="I28" s="7"/>
      <c r="J28" s="7">
        <v>38</v>
      </c>
      <c r="K28" s="7"/>
      <c r="L28" s="7">
        <v>2142</v>
      </c>
    </row>
    <row r="29" spans="1:12" x14ac:dyDescent="0.35">
      <c r="A29" t="s">
        <v>94</v>
      </c>
      <c r="B29" s="7"/>
      <c r="C29" s="7"/>
      <c r="D29" s="7">
        <v>1974</v>
      </c>
      <c r="E29" s="7"/>
      <c r="F29" s="7"/>
      <c r="G29" s="7"/>
      <c r="H29" s="7"/>
      <c r="I29" s="7">
        <v>560</v>
      </c>
      <c r="J29" s="7">
        <v>345</v>
      </c>
      <c r="K29" s="7"/>
      <c r="L29" s="7">
        <v>2879</v>
      </c>
    </row>
    <row r="30" spans="1:12" x14ac:dyDescent="0.35">
      <c r="A30" t="s">
        <v>236</v>
      </c>
      <c r="B30" s="7">
        <v>744</v>
      </c>
      <c r="C30" s="7">
        <v>1448</v>
      </c>
      <c r="D30" s="7">
        <v>65556</v>
      </c>
      <c r="E30" s="7">
        <v>1865</v>
      </c>
      <c r="F30" s="7"/>
      <c r="G30" s="7"/>
      <c r="H30" s="7"/>
      <c r="I30" s="7"/>
      <c r="J30" s="7"/>
      <c r="K30" s="7"/>
      <c r="L30" s="7">
        <v>69613</v>
      </c>
    </row>
    <row r="32" spans="1:12" x14ac:dyDescent="0.35">
      <c r="B32" s="7">
        <f>SUM(B9,B10:B21,B22*-1)</f>
        <v>0</v>
      </c>
      <c r="C32" s="7">
        <f t="shared" ref="C32:L32" si="0">SUM(C9,C10:C21,C22*-1)</f>
        <v>1</v>
      </c>
      <c r="D32" s="7">
        <f t="shared" si="0"/>
        <v>0</v>
      </c>
      <c r="E32" s="7">
        <f t="shared" si="0"/>
        <v>-1</v>
      </c>
      <c r="F32" s="7">
        <f t="shared" si="0"/>
        <v>0</v>
      </c>
      <c r="G32" s="7">
        <f t="shared" si="0"/>
        <v>0</v>
      </c>
      <c r="H32" s="7">
        <f t="shared" si="0"/>
        <v>0</v>
      </c>
      <c r="I32" s="7">
        <f t="shared" si="0"/>
        <v>1</v>
      </c>
      <c r="J32" s="7">
        <f t="shared" si="0"/>
        <v>0</v>
      </c>
      <c r="K32" s="7">
        <f t="shared" si="0"/>
        <v>1</v>
      </c>
      <c r="L32" s="7">
        <f t="shared" si="0"/>
        <v>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Regneark</vt:lpstr>
      </vt:variant>
      <vt:variant>
        <vt:i4>116</vt:i4>
      </vt:variant>
    </vt:vector>
  </HeadingPairs>
  <TitlesOfParts>
    <vt:vector size="116" baseType="lpstr">
      <vt:lpstr>BL OECD total 2050</vt:lpstr>
      <vt:lpstr>BL OECD total 2030</vt:lpstr>
      <vt:lpstr>BL World 2030</vt:lpstr>
      <vt:lpstr>BL World 2050</vt:lpstr>
      <vt:lpstr>Introduction</vt:lpstr>
      <vt:lpstr>Goals and Energy Consumption</vt:lpstr>
      <vt:lpstr>KF World</vt:lpstr>
      <vt:lpstr>KF World - Temperature</vt:lpstr>
      <vt:lpstr>World 1995</vt:lpstr>
      <vt:lpstr>World 2000</vt:lpstr>
      <vt:lpstr>World 2005</vt:lpstr>
      <vt:lpstr>World 2010</vt:lpstr>
      <vt:lpstr>World 2015</vt:lpstr>
      <vt:lpstr>World 2018</vt:lpstr>
      <vt:lpstr>BL Non OECD total 2050</vt:lpstr>
      <vt:lpstr>BL Non OECD total 2030</vt:lpstr>
      <vt:lpstr>KF Non-OECD total</vt:lpstr>
      <vt:lpstr>Non OECD total 1995</vt:lpstr>
      <vt:lpstr>Non OECD total 2000</vt:lpstr>
      <vt:lpstr>Non OECD total 2005</vt:lpstr>
      <vt:lpstr>Non OECD total 2010</vt:lpstr>
      <vt:lpstr>Non OECD total 2015</vt:lpstr>
      <vt:lpstr>Non OECD total 2018</vt:lpstr>
      <vt:lpstr>BL Middle East 2050</vt:lpstr>
      <vt:lpstr>BL Middle East 2030</vt:lpstr>
      <vt:lpstr> KF OECD total</vt:lpstr>
      <vt:lpstr>KF OECD+Non-OECD - Temperature</vt:lpstr>
      <vt:lpstr> KF Middle East</vt:lpstr>
      <vt:lpstr>Middle East 1995</vt:lpstr>
      <vt:lpstr>Middle East 2000</vt:lpstr>
      <vt:lpstr>Middle East 2005</vt:lpstr>
      <vt:lpstr>Middle East 2010</vt:lpstr>
      <vt:lpstr>Middle East 2015</vt:lpstr>
      <vt:lpstr>Middle East 2018</vt:lpstr>
      <vt:lpstr>BL Africa 2050</vt:lpstr>
      <vt:lpstr>BL Africa 2030</vt:lpstr>
      <vt:lpstr> KF Africa</vt:lpstr>
      <vt:lpstr>Africa 1995</vt:lpstr>
      <vt:lpstr>Africa 2000</vt:lpstr>
      <vt:lpstr>Africa 2005</vt:lpstr>
      <vt:lpstr>Africa 2010</vt:lpstr>
      <vt:lpstr>Africa 2015</vt:lpstr>
      <vt:lpstr>Africa 2018</vt:lpstr>
      <vt:lpstr>BL China 2050</vt:lpstr>
      <vt:lpstr>BL China 2030</vt:lpstr>
      <vt:lpstr> KF China</vt:lpstr>
      <vt:lpstr>China 1995</vt:lpstr>
      <vt:lpstr>China 2000</vt:lpstr>
      <vt:lpstr>China 2005</vt:lpstr>
      <vt:lpstr>China 2010</vt:lpstr>
      <vt:lpstr>China 2015</vt:lpstr>
      <vt:lpstr>China 2018</vt:lpstr>
      <vt:lpstr>BL Asia excluding China 2050</vt:lpstr>
      <vt:lpstr>BL Asia excluding China 2030</vt:lpstr>
      <vt:lpstr> KF Asia excluding China</vt:lpstr>
      <vt:lpstr>Asia excluding China 1995</vt:lpstr>
      <vt:lpstr>Asia excluding China 2000</vt:lpstr>
      <vt:lpstr>Asia excluding China 2005</vt:lpstr>
      <vt:lpstr>Asia excluding China 2010</vt:lpstr>
      <vt:lpstr>Asia excluding China 2015</vt:lpstr>
      <vt:lpstr>Asia excluding China 2018</vt:lpstr>
      <vt:lpstr>BL Non-OECD Americas 2050</vt:lpstr>
      <vt:lpstr>BL Non-OECD Americas 2030</vt:lpstr>
      <vt:lpstr>Non-OECD Americas 1995</vt:lpstr>
      <vt:lpstr>Non-OECD Americas 2000</vt:lpstr>
      <vt:lpstr>Non-OECD Americas 2005</vt:lpstr>
      <vt:lpstr>Non-OECD Americas 2010</vt:lpstr>
      <vt:lpstr>Non-OECD Americas 2015</vt:lpstr>
      <vt:lpstr>Non-OECD Americas 2018</vt:lpstr>
      <vt:lpstr>BL Non-OECD Europe Eurasia 2050</vt:lpstr>
      <vt:lpstr>BL Non-OECD Europe Aurasia 2030</vt:lpstr>
      <vt:lpstr> KF Non-OECD Americas</vt:lpstr>
      <vt:lpstr> KF Non-OECD Europe Eurasia </vt:lpstr>
      <vt:lpstr>Non-OECD Europe Eurasia 1995</vt:lpstr>
      <vt:lpstr>Non-OECD Europe Eurasia 2000</vt:lpstr>
      <vt:lpstr>Non-OECD Europe Eurasia 2005</vt:lpstr>
      <vt:lpstr>Non-OECD Europe Eurasia 2010</vt:lpstr>
      <vt:lpstr>Non-OECD Europe Eurasia 2015</vt:lpstr>
      <vt:lpstr>Non-OECD Europe Eurasia 2018</vt:lpstr>
      <vt:lpstr>OECD total 1995</vt:lpstr>
      <vt:lpstr>OECD total 2000</vt:lpstr>
      <vt:lpstr>OECD total 2005</vt:lpstr>
      <vt:lpstr>OECD total 2010</vt:lpstr>
      <vt:lpstr>OECD total 2015</vt:lpstr>
      <vt:lpstr>OECD total 2018</vt:lpstr>
      <vt:lpstr>BL OECD Europe 2050</vt:lpstr>
      <vt:lpstr>BL OECD Europe 2030</vt:lpstr>
      <vt:lpstr> KF OECD Europe</vt:lpstr>
      <vt:lpstr>OECD Europe 1995</vt:lpstr>
      <vt:lpstr>OECD Europe 2000</vt:lpstr>
      <vt:lpstr>OECD Europe 2005</vt:lpstr>
      <vt:lpstr>OECD Europe 2010</vt:lpstr>
      <vt:lpstr>OECD Europe 2015</vt:lpstr>
      <vt:lpstr>OECD Europe 2018</vt:lpstr>
      <vt:lpstr>BL OECD Asia Oceania 2030</vt:lpstr>
      <vt:lpstr>BL OECD Asia Oceania 2050</vt:lpstr>
      <vt:lpstr> KF OECD Asia Oceania</vt:lpstr>
      <vt:lpstr>OECD Asia Oceania 1995</vt:lpstr>
      <vt:lpstr>OECD Asia Oceania 2000</vt:lpstr>
      <vt:lpstr>OECD Asia Oceania 2005</vt:lpstr>
      <vt:lpstr>OECD Asia Oceania 2010</vt:lpstr>
      <vt:lpstr>OECD Asia Oceania 2015</vt:lpstr>
      <vt:lpstr>OECD Asia Oceania 2018</vt:lpstr>
      <vt:lpstr>BL OECD Americas 2030</vt:lpstr>
      <vt:lpstr>BL OECD Americas 2050</vt:lpstr>
      <vt:lpstr> KF OECD Americas</vt:lpstr>
      <vt:lpstr>World by Continent -Temperature</vt:lpstr>
      <vt:lpstr>OECD Americas 1995</vt:lpstr>
      <vt:lpstr>OECD Americas 2000</vt:lpstr>
      <vt:lpstr>OECD Americas 2005</vt:lpstr>
      <vt:lpstr>OECD Americas 2010</vt:lpstr>
      <vt:lpstr>OECD Americas 2015</vt:lpstr>
      <vt:lpstr>OECD Americas 2018</vt:lpstr>
      <vt:lpstr>Meta data</vt:lpstr>
      <vt:lpstr>Emissionsfaktorer</vt:lpstr>
      <vt:lpstr>Størrelse på strømme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Flemming</dc:creator>
  <cp:keywords/>
  <dc:description/>
  <cp:lastModifiedBy>Flemming Nissen</cp:lastModifiedBy>
  <cp:revision/>
  <dcterms:created xsi:type="dcterms:W3CDTF">2018-01-06T07:25:37Z</dcterms:created>
  <dcterms:modified xsi:type="dcterms:W3CDTF">2024-01-18T11:53:45Z</dcterms:modified>
  <cp:category/>
  <cp:contentStatus/>
</cp:coreProperties>
</file>